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Instructor manual\Excel\"/>
    </mc:Choice>
  </mc:AlternateContent>
  <xr:revisionPtr revIDLastSave="0" documentId="13_ncr:1_{FC8F9A09-2CD4-4F33-A580-510265DEDFF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X8.1" sheetId="28" r:id="rId1"/>
    <sheet name="X8.2" sheetId="29" r:id="rId2"/>
    <sheet name="X8.3" sheetId="30" r:id="rId3"/>
    <sheet name="X8.4" sheetId="31" r:id="rId4"/>
    <sheet name="X8.5" sheetId="32" r:id="rId5"/>
    <sheet name="X8.6" sheetId="34" r:id="rId6"/>
    <sheet name="X8.7" sheetId="33" r:id="rId7"/>
    <sheet name="X8.8" sheetId="35" r:id="rId8"/>
    <sheet name="X8.9" sheetId="36" r:id="rId9"/>
    <sheet name="X8.10" sheetId="37" r:id="rId10"/>
    <sheet name="X8.11" sheetId="44" r:id="rId11"/>
    <sheet name="X8.12" sheetId="45" r:id="rId12"/>
    <sheet name="X8.13" sheetId="46" r:id="rId13"/>
    <sheet name="X8.14" sheetId="47" r:id="rId14"/>
    <sheet name="X8.15" sheetId="48" r:id="rId15"/>
    <sheet name="X8.16" sheetId="49" r:id="rId16"/>
    <sheet name="X8.17" sheetId="50" r:id="rId17"/>
    <sheet name="X8.18" sheetId="51" r:id="rId18"/>
    <sheet name="X8.19" sheetId="52" r:id="rId19"/>
    <sheet name="TU8.1" sheetId="56" r:id="rId20"/>
    <sheet name="TU8.2" sheetId="57" r:id="rId21"/>
    <sheet name="TU8.3" sheetId="58" r:id="rId22"/>
    <sheet name="TU8.4" sheetId="59" r:id="rId23"/>
    <sheet name="TU8.5" sheetId="60" r:id="rId24"/>
    <sheet name="TU8.6" sheetId="61" r:id="rId25"/>
    <sheet name="TU8.7" sheetId="65" r:id="rId26"/>
    <sheet name="TU8.8" sheetId="62" r:id="rId27"/>
    <sheet name="TU8.9" sheetId="63" r:id="rId28"/>
    <sheet name="TU8.10" sheetId="79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28" l="1"/>
  <c r="C14" i="65" l="1"/>
  <c r="C15" i="65" s="1"/>
  <c r="C11" i="65"/>
  <c r="C5" i="65"/>
  <c r="C6" i="65" s="1"/>
  <c r="H10" i="60"/>
  <c r="H5" i="60"/>
  <c r="L15" i="30"/>
  <c r="J16" i="36"/>
  <c r="O24" i="60"/>
  <c r="K14" i="34"/>
  <c r="J13" i="45"/>
  <c r="H15" i="52"/>
  <c r="O20" i="60"/>
  <c r="D27" i="30"/>
  <c r="D9" i="35"/>
  <c r="K25" i="48"/>
  <c r="K17" i="57"/>
  <c r="K12" i="57"/>
  <c r="D26" i="58"/>
  <c r="C9" i="34"/>
  <c r="J20" i="45"/>
  <c r="E12" i="51"/>
  <c r="F4" i="59"/>
  <c r="I26" i="46"/>
  <c r="K17" i="34"/>
  <c r="K17" i="49"/>
  <c r="M18" i="32"/>
  <c r="J20" i="37"/>
  <c r="K21" i="49"/>
  <c r="N21" i="59"/>
  <c r="K22" i="48"/>
  <c r="F7" i="59"/>
  <c r="M21" i="32"/>
  <c r="J17" i="37"/>
  <c r="K19" i="49"/>
  <c r="N22" i="59"/>
  <c r="E11" i="36"/>
  <c r="L21" i="31"/>
  <c r="O25" i="60"/>
  <c r="F24" i="32"/>
  <c r="K22" i="29"/>
  <c r="I12" i="46"/>
  <c r="M20" i="32"/>
  <c r="K20" i="49"/>
  <c r="D5" i="65"/>
  <c r="I23" i="46"/>
  <c r="D20" i="65"/>
  <c r="G6" i="58"/>
  <c r="H25" i="52"/>
  <c r="N19" i="59"/>
  <c r="H17" i="52"/>
  <c r="C15" i="35"/>
  <c r="D7" i="35"/>
  <c r="D24" i="56"/>
  <c r="H11" i="52"/>
  <c r="K17" i="33"/>
  <c r="K15" i="29"/>
  <c r="D14" i="65"/>
  <c r="F14" i="31"/>
  <c r="J19" i="37"/>
  <c r="G4" i="58"/>
  <c r="H22" i="52"/>
  <c r="L20" i="31"/>
  <c r="K20" i="33"/>
  <c r="K21" i="29"/>
  <c r="K22" i="34"/>
  <c r="C19" i="46"/>
  <c r="F6" i="33"/>
  <c r="E34" i="49"/>
  <c r="D11" i="65"/>
  <c r="K16" i="48"/>
  <c r="L18" i="30"/>
  <c r="F6" i="34"/>
  <c r="E14" i="51"/>
  <c r="J28" i="45"/>
  <c r="E13" i="51"/>
  <c r="E9" i="33"/>
  <c r="K15" i="49"/>
  <c r="G4" i="49"/>
  <c r="L18" i="31"/>
  <c r="D24" i="48"/>
  <c r="H13" i="52"/>
  <c r="E14" i="36"/>
  <c r="D15" i="58"/>
  <c r="L15" i="31"/>
  <c r="J22" i="37"/>
  <c r="D12" i="65"/>
  <c r="K16" i="33"/>
  <c r="I20" i="46"/>
  <c r="H12" i="52"/>
  <c r="E11" i="60"/>
  <c r="D26" i="31"/>
  <c r="J20" i="36"/>
  <c r="G4" i="48"/>
  <c r="D24" i="58"/>
  <c r="G11" i="60"/>
  <c r="G5" i="60"/>
  <c r="K20" i="34"/>
  <c r="F4" i="45"/>
  <c r="H14" i="52"/>
  <c r="O15" i="60"/>
  <c r="K32" i="48"/>
  <c r="J18" i="36"/>
  <c r="H20" i="52"/>
  <c r="F7" i="34"/>
  <c r="D9" i="44"/>
  <c r="E17" i="51"/>
  <c r="H11" i="59"/>
  <c r="H10" i="52"/>
  <c r="H23" i="52"/>
  <c r="F8" i="34"/>
  <c r="J36" i="45"/>
  <c r="E15" i="51"/>
  <c r="F8" i="59"/>
  <c r="J35" i="45"/>
  <c r="E15" i="34"/>
  <c r="K22" i="49"/>
  <c r="E12" i="37"/>
  <c r="D9" i="33"/>
  <c r="L15" i="56"/>
  <c r="I4" i="58"/>
  <c r="J18" i="37"/>
  <c r="E6" i="58"/>
  <c r="H8" i="28"/>
  <c r="K14" i="33"/>
  <c r="H19" i="52"/>
  <c r="E16" i="51"/>
  <c r="E15" i="37"/>
  <c r="K16" i="34"/>
  <c r="J15" i="45"/>
  <c r="D13" i="59"/>
  <c r="F9" i="59"/>
  <c r="K21" i="34"/>
  <c r="J12" i="45"/>
  <c r="O23" i="60"/>
  <c r="I14" i="46"/>
  <c r="L17" i="56"/>
  <c r="L20" i="30"/>
  <c r="K21" i="48"/>
  <c r="K13" i="33"/>
  <c r="G5" i="28"/>
  <c r="I15" i="46"/>
  <c r="H21" i="52"/>
  <c r="K22" i="33"/>
  <c r="D21" i="57"/>
  <c r="O18" i="60"/>
  <c r="D21" i="58"/>
  <c r="C15" i="33"/>
  <c r="C16" i="37"/>
  <c r="L12" i="56"/>
  <c r="E24" i="32"/>
  <c r="I24" i="46"/>
  <c r="J21" i="37"/>
  <c r="D15" i="35"/>
  <c r="L19" i="30"/>
  <c r="J19" i="36"/>
  <c r="C15" i="36"/>
  <c r="H16" i="52"/>
  <c r="D9" i="34"/>
  <c r="K19" i="29"/>
  <c r="L16" i="56"/>
  <c r="K18" i="48"/>
  <c r="I12" i="59"/>
  <c r="N24" i="59"/>
  <c r="J21" i="36"/>
  <c r="L19" i="31"/>
  <c r="D15" i="65"/>
  <c r="C15" i="34"/>
  <c r="J29" i="45"/>
  <c r="E27" i="30"/>
  <c r="C13" i="35"/>
  <c r="K17" i="48"/>
  <c r="K16" i="57"/>
  <c r="G10" i="60"/>
  <c r="G8" i="32"/>
  <c r="D12" i="44"/>
  <c r="D34" i="49"/>
  <c r="N14" i="59"/>
  <c r="F7" i="33"/>
  <c r="K18" i="29"/>
  <c r="E15" i="33"/>
  <c r="C22" i="46"/>
  <c r="L19" i="56"/>
  <c r="L22" i="30"/>
  <c r="H9" i="52"/>
  <c r="I22" i="46"/>
  <c r="D16" i="65"/>
  <c r="K13" i="34"/>
  <c r="D44" i="45"/>
  <c r="H24" i="52"/>
  <c r="J13" i="60"/>
  <c r="E24" i="29"/>
  <c r="D18" i="65"/>
  <c r="K21" i="33"/>
  <c r="I27" i="46"/>
  <c r="H18" i="52"/>
  <c r="I12" i="60"/>
  <c r="K25" i="49"/>
  <c r="J17" i="45"/>
  <c r="F6" i="59"/>
  <c r="K19" i="34"/>
  <c r="J16" i="45"/>
  <c r="F15" i="30"/>
  <c r="J15" i="36"/>
  <c r="K19" i="48"/>
  <c r="D25" i="58"/>
  <c r="K20" i="48"/>
  <c r="E9" i="34"/>
  <c r="J26" i="45"/>
  <c r="E19" i="51"/>
  <c r="F10" i="59"/>
  <c r="J37" i="45"/>
  <c r="K24" i="48"/>
  <c r="K15" i="57"/>
  <c r="M22" i="32"/>
  <c r="D6" i="65"/>
  <c r="I16" i="46"/>
  <c r="K19" i="33"/>
  <c r="H26" i="52"/>
  <c r="I17" i="46"/>
  <c r="I21" i="46"/>
  <c r="K14" i="49"/>
  <c r="J10" i="45"/>
  <c r="K24" i="49"/>
  <c r="J17" i="36"/>
  <c r="N23" i="59"/>
  <c r="B22" i="46"/>
  <c r="K20" i="29"/>
  <c r="I6" i="58"/>
  <c r="D6" i="28"/>
  <c r="N17" i="59"/>
  <c r="H27" i="52"/>
  <c r="D4" i="52"/>
  <c r="E4" i="58"/>
  <c r="F15" i="56"/>
  <c r="K19" i="57"/>
  <c r="K18" i="57"/>
  <c r="D13" i="35"/>
  <c r="D8" i="32"/>
  <c r="M15" i="32"/>
  <c r="D16" i="58"/>
  <c r="F8" i="33"/>
  <c r="H5" i="28"/>
  <c r="K15" i="34"/>
  <c r="E24" i="48"/>
  <c r="E18" i="51"/>
  <c r="L18" i="56"/>
  <c r="C9" i="33"/>
  <c r="L22" i="31"/>
  <c r="K18" i="49"/>
  <c r="I13" i="46"/>
  <c r="D14" i="44"/>
  <c r="K15" i="33"/>
  <c r="E5" i="60"/>
  <c r="M19" i="32"/>
  <c r="K16" i="49"/>
  <c r="L21" i="30"/>
  <c r="D15" i="36"/>
  <c r="K26" i="48"/>
  <c r="K23" i="48"/>
  <c r="O22" i="60"/>
  <c r="D24" i="29"/>
  <c r="F5" i="59"/>
  <c r="I10" i="46"/>
  <c r="D11" i="44"/>
  <c r="J16" i="37"/>
  <c r="J14" i="45"/>
  <c r="K30" i="49"/>
  <c r="F15" i="57"/>
  <c r="C12" i="65" l="1"/>
  <c r="C16" i="65" s="1"/>
  <c r="K16" i="56"/>
  <c r="K15" i="56"/>
  <c r="J16" i="57"/>
  <c r="J15" i="57"/>
  <c r="L20" i="63"/>
  <c r="I15" i="62"/>
  <c r="I21" i="79"/>
  <c r="I23" i="62"/>
  <c r="I30" i="79"/>
  <c r="I19" i="79"/>
  <c r="I20" i="62"/>
  <c r="I33" i="79"/>
  <c r="I10" i="62"/>
  <c r="I22" i="62"/>
  <c r="I21" i="62"/>
  <c r="I27" i="79"/>
  <c r="I20" i="79"/>
  <c r="D4" i="79"/>
  <c r="I28" i="79"/>
  <c r="L24" i="63"/>
  <c r="L17" i="63"/>
  <c r="I22" i="79"/>
  <c r="I15" i="79"/>
  <c r="I16" i="62"/>
  <c r="I16" i="79"/>
  <c r="C19" i="61"/>
  <c r="L23" i="61"/>
  <c r="D4" i="63"/>
  <c r="F5" i="61"/>
  <c r="I24" i="79"/>
  <c r="L8" i="63"/>
  <c r="I17" i="79"/>
  <c r="I23" i="79"/>
  <c r="I25" i="79"/>
  <c r="L20" i="61"/>
  <c r="L18" i="63"/>
  <c r="L27" i="63"/>
  <c r="L21" i="63"/>
  <c r="L26" i="63"/>
  <c r="I29" i="79"/>
  <c r="I24" i="62"/>
  <c r="H20" i="63"/>
  <c r="F20" i="63"/>
  <c r="L23" i="63"/>
  <c r="I12" i="62"/>
  <c r="F4" i="63"/>
  <c r="L25" i="63"/>
  <c r="L15" i="61"/>
  <c r="I31" i="79"/>
  <c r="I14" i="62"/>
  <c r="I18" i="79"/>
  <c r="I27" i="62"/>
  <c r="L24" i="61"/>
  <c r="H5" i="61"/>
  <c r="I26" i="79"/>
  <c r="I17" i="62"/>
  <c r="H4" i="63"/>
  <c r="I32" i="79"/>
  <c r="L22" i="63"/>
  <c r="L25" i="61"/>
  <c r="L19" i="63"/>
  <c r="L22" i="61"/>
  <c r="D25" i="79"/>
  <c r="I25" i="62"/>
  <c r="L18" i="61"/>
  <c r="I13" i="62"/>
  <c r="I29" i="62"/>
  <c r="C20" i="65" l="1"/>
  <c r="C18" i="65"/>
  <c r="J32" i="48"/>
  <c r="B21" i="46" l="1"/>
  <c r="J25" i="48" l="1"/>
  <c r="J24" i="49"/>
  <c r="K17" i="63" l="1"/>
  <c r="C20" i="63"/>
  <c r="E20" i="63" s="1"/>
  <c r="C19" i="63"/>
  <c r="E19" i="63" s="1"/>
  <c r="C18" i="63"/>
  <c r="E18" i="63" s="1"/>
  <c r="C17" i="63"/>
  <c r="E17" i="63" s="1"/>
  <c r="C16" i="63"/>
  <c r="E16" i="63" s="1"/>
  <c r="C15" i="63"/>
  <c r="E15" i="63" s="1"/>
  <c r="C14" i="63"/>
  <c r="E14" i="63" s="1"/>
  <c r="C5" i="63"/>
  <c r="E5" i="63" s="1"/>
  <c r="C6" i="63"/>
  <c r="E6" i="63" s="1"/>
  <c r="C7" i="63"/>
  <c r="E7" i="63" s="1"/>
  <c r="C8" i="63"/>
  <c r="E8" i="63" s="1"/>
  <c r="C9" i="63"/>
  <c r="E9" i="63" s="1"/>
  <c r="C10" i="63"/>
  <c r="E10" i="63" s="1"/>
  <c r="C11" i="63"/>
  <c r="E11" i="63" s="1"/>
  <c r="C12" i="63"/>
  <c r="E12" i="63" s="1"/>
  <c r="C13" i="63"/>
  <c r="E13" i="63" s="1"/>
  <c r="C4" i="63"/>
  <c r="E4" i="63" s="1"/>
  <c r="K27" i="63"/>
  <c r="H33" i="79"/>
  <c r="H32" i="79"/>
  <c r="H18" i="79"/>
  <c r="H17" i="79"/>
  <c r="H16" i="79"/>
  <c r="H15" i="79"/>
  <c r="C5" i="79"/>
  <c r="C6" i="79"/>
  <c r="C7" i="79"/>
  <c r="C8" i="79"/>
  <c r="C9" i="79"/>
  <c r="C10" i="79"/>
  <c r="C11" i="79"/>
  <c r="C12" i="79"/>
  <c r="C13" i="79"/>
  <c r="C14" i="79"/>
  <c r="C15" i="79"/>
  <c r="C16" i="79"/>
  <c r="C17" i="79"/>
  <c r="C18" i="79"/>
  <c r="C19" i="79"/>
  <c r="C20" i="79"/>
  <c r="C21" i="79"/>
  <c r="C22" i="79"/>
  <c r="C23" i="79"/>
  <c r="C24" i="79"/>
  <c r="C25" i="79"/>
  <c r="C4" i="79"/>
  <c r="H19" i="79" l="1"/>
  <c r="G16" i="63"/>
  <c r="G20" i="63"/>
  <c r="G12" i="63"/>
  <c r="G19" i="63"/>
  <c r="G5" i="63"/>
  <c r="G8" i="63"/>
  <c r="G11" i="63"/>
  <c r="G15" i="63"/>
  <c r="G7" i="63"/>
  <c r="K18" i="63"/>
  <c r="G18" i="63"/>
  <c r="G14" i="63"/>
  <c r="G10" i="63"/>
  <c r="G6" i="63"/>
  <c r="G4" i="63"/>
  <c r="G17" i="63"/>
  <c r="G13" i="63"/>
  <c r="G9" i="63"/>
  <c r="K8" i="63"/>
  <c r="H20" i="79"/>
  <c r="H28" i="79"/>
  <c r="H21" i="79"/>
  <c r="H29" i="79"/>
  <c r="H22" i="79"/>
  <c r="H26" i="79"/>
  <c r="K20" i="63" l="1"/>
  <c r="K21" i="63"/>
  <c r="K19" i="63"/>
  <c r="H23" i="79"/>
  <c r="H24" i="79"/>
  <c r="K24" i="63" l="1"/>
  <c r="K23" i="63"/>
  <c r="H27" i="79"/>
  <c r="H31" i="79" s="1"/>
  <c r="H30" i="79" s="1"/>
  <c r="H25" i="79"/>
  <c r="K22" i="63" l="1"/>
  <c r="K25" i="63" l="1"/>
  <c r="K26" i="63"/>
  <c r="H12" i="62" l="1"/>
  <c r="C5" i="62"/>
  <c r="D5" i="62" s="1"/>
  <c r="C6" i="62"/>
  <c r="D6" i="62" s="1"/>
  <c r="C7" i="62"/>
  <c r="D7" i="62" s="1"/>
  <c r="C8" i="62"/>
  <c r="D8" i="62" s="1"/>
  <c r="C9" i="62"/>
  <c r="D9" i="62" s="1"/>
  <c r="C10" i="62"/>
  <c r="D10" i="62" s="1"/>
  <c r="C11" i="62"/>
  <c r="D11" i="62" s="1"/>
  <c r="C12" i="62"/>
  <c r="D12" i="62" s="1"/>
  <c r="C13" i="62"/>
  <c r="D13" i="62" s="1"/>
  <c r="C14" i="62"/>
  <c r="D14" i="62" s="1"/>
  <c r="C15" i="62"/>
  <c r="D15" i="62" s="1"/>
  <c r="C16" i="62"/>
  <c r="D16" i="62" s="1"/>
  <c r="C17" i="62"/>
  <c r="D17" i="62" s="1"/>
  <c r="C18" i="62"/>
  <c r="D18" i="62" s="1"/>
  <c r="C19" i="62"/>
  <c r="D19" i="62" s="1"/>
  <c r="C20" i="62"/>
  <c r="D20" i="62" s="1"/>
  <c r="C21" i="62"/>
  <c r="D21" i="62" s="1"/>
  <c r="C22" i="62"/>
  <c r="D22" i="62" s="1"/>
  <c r="C23" i="62"/>
  <c r="D23" i="62" s="1"/>
  <c r="C4" i="62"/>
  <c r="H10" i="62" l="1"/>
  <c r="K18" i="61"/>
  <c r="K20" i="61" s="1"/>
  <c r="K25" i="61" s="1"/>
  <c r="C18" i="61"/>
  <c r="E6" i="61" s="1"/>
  <c r="G6" i="61" s="1"/>
  <c r="N18" i="60"/>
  <c r="N20" i="60" s="1"/>
  <c r="N25" i="60" s="1"/>
  <c r="D11" i="60"/>
  <c r="D10" i="60"/>
  <c r="D9" i="60"/>
  <c r="D8" i="60"/>
  <c r="D7" i="60"/>
  <c r="D6" i="60"/>
  <c r="D5" i="60"/>
  <c r="M17" i="59"/>
  <c r="M19" i="59" s="1"/>
  <c r="M24" i="59" s="1"/>
  <c r="D10" i="59"/>
  <c r="D9" i="59"/>
  <c r="D8" i="59"/>
  <c r="D7" i="59"/>
  <c r="D6" i="59"/>
  <c r="D5" i="59"/>
  <c r="D4" i="59"/>
  <c r="C16" i="58"/>
  <c r="C24" i="58" s="1"/>
  <c r="C15" i="58"/>
  <c r="C9" i="58"/>
  <c r="D5" i="58" s="1"/>
  <c r="F5" i="58" s="1"/>
  <c r="H5" i="58" s="1"/>
  <c r="D6" i="57"/>
  <c r="E6" i="57"/>
  <c r="C6" i="57"/>
  <c r="C20" i="57"/>
  <c r="C19" i="57"/>
  <c r="C18" i="57"/>
  <c r="C17" i="57"/>
  <c r="C16" i="57"/>
  <c r="C15" i="57"/>
  <c r="F5" i="57"/>
  <c r="F4" i="57"/>
  <c r="C23" i="56"/>
  <c r="C22" i="56"/>
  <c r="C21" i="56"/>
  <c r="C20" i="56"/>
  <c r="C19" i="56"/>
  <c r="C18" i="56"/>
  <c r="C17" i="56"/>
  <c r="C16" i="56"/>
  <c r="C15" i="56"/>
  <c r="E7" i="56"/>
  <c r="D7" i="56"/>
  <c r="C7" i="56"/>
  <c r="F6" i="56"/>
  <c r="F5" i="56"/>
  <c r="F4" i="56"/>
  <c r="E16" i="61" l="1"/>
  <c r="G16" i="61" s="1"/>
  <c r="F6" i="57"/>
  <c r="E8" i="61"/>
  <c r="G8" i="61" s="1"/>
  <c r="E12" i="61"/>
  <c r="G12" i="61" s="1"/>
  <c r="E5" i="61"/>
  <c r="E9" i="61"/>
  <c r="G9" i="61" s="1"/>
  <c r="E13" i="61"/>
  <c r="G13" i="61" s="1"/>
  <c r="E15" i="61"/>
  <c r="G15" i="61" s="1"/>
  <c r="E11" i="61"/>
  <c r="G11" i="61" s="1"/>
  <c r="E7" i="61"/>
  <c r="G7" i="61" s="1"/>
  <c r="D12" i="59"/>
  <c r="G5" i="59" s="1"/>
  <c r="H5" i="59" s="1"/>
  <c r="I5" i="59" s="1"/>
  <c r="E14" i="61"/>
  <c r="G14" i="61" s="1"/>
  <c r="E10" i="61"/>
  <c r="G10" i="61" s="1"/>
  <c r="G5" i="61"/>
  <c r="I10" i="60"/>
  <c r="J10" i="60" s="1"/>
  <c r="H9" i="60"/>
  <c r="I9" i="60" s="1"/>
  <c r="J9" i="60" s="1"/>
  <c r="H8" i="60"/>
  <c r="I8" i="60" s="1"/>
  <c r="J8" i="60" s="1"/>
  <c r="H7" i="60"/>
  <c r="I7" i="60" s="1"/>
  <c r="J7" i="60" s="1"/>
  <c r="H6" i="60"/>
  <c r="I6" i="60" s="1"/>
  <c r="J6" i="60" s="1"/>
  <c r="G7" i="59"/>
  <c r="H7" i="59" s="1"/>
  <c r="I7" i="59" s="1"/>
  <c r="D6" i="58"/>
  <c r="F6" i="58" s="1"/>
  <c r="H6" i="58" s="1"/>
  <c r="D4" i="58"/>
  <c r="K17" i="56"/>
  <c r="K18" i="56" s="1"/>
  <c r="F7" i="56"/>
  <c r="D23" i="56" s="1"/>
  <c r="E23" i="56" s="1"/>
  <c r="G26" i="52"/>
  <c r="G25" i="52"/>
  <c r="C26" i="52"/>
  <c r="C25" i="52"/>
  <c r="C24" i="52"/>
  <c r="C23" i="52"/>
  <c r="C22" i="52"/>
  <c r="C21" i="52"/>
  <c r="C20" i="52"/>
  <c r="C19" i="52"/>
  <c r="C18" i="52"/>
  <c r="C17" i="52"/>
  <c r="C16" i="52"/>
  <c r="G12" i="52"/>
  <c r="C15" i="52"/>
  <c r="G11" i="52"/>
  <c r="C14" i="52"/>
  <c r="G10" i="52"/>
  <c r="C13" i="52"/>
  <c r="G9" i="52"/>
  <c r="C12" i="52"/>
  <c r="C11" i="52"/>
  <c r="C10" i="52"/>
  <c r="C9" i="52"/>
  <c r="C8" i="52"/>
  <c r="C7" i="52"/>
  <c r="C6" i="52"/>
  <c r="C5" i="52"/>
  <c r="C4" i="52"/>
  <c r="D18" i="51"/>
  <c r="D16" i="51"/>
  <c r="D15" i="51"/>
  <c r="D12" i="51"/>
  <c r="D13" i="51" s="1"/>
  <c r="D33" i="49"/>
  <c r="E33" i="49" s="1"/>
  <c r="D32" i="49"/>
  <c r="E32" i="49" s="1"/>
  <c r="D31" i="49"/>
  <c r="E31" i="49" s="1"/>
  <c r="D30" i="49"/>
  <c r="E30" i="49" s="1"/>
  <c r="D29" i="49"/>
  <c r="E29" i="49" s="1"/>
  <c r="D28" i="49"/>
  <c r="E28" i="49" s="1"/>
  <c r="D27" i="49"/>
  <c r="E27" i="49" s="1"/>
  <c r="D26" i="49"/>
  <c r="E26" i="49" s="1"/>
  <c r="D25" i="49"/>
  <c r="E25" i="49" s="1"/>
  <c r="D24" i="49"/>
  <c r="E24" i="49" s="1"/>
  <c r="D23" i="49"/>
  <c r="E23" i="49" s="1"/>
  <c r="D22" i="49"/>
  <c r="E22" i="49" s="1"/>
  <c r="D21" i="49"/>
  <c r="E21" i="49" s="1"/>
  <c r="D20" i="49"/>
  <c r="E20" i="49" s="1"/>
  <c r="D19" i="49"/>
  <c r="E19" i="49" s="1"/>
  <c r="D18" i="49"/>
  <c r="E18" i="49" s="1"/>
  <c r="D17" i="49"/>
  <c r="E17" i="49" s="1"/>
  <c r="J14" i="49"/>
  <c r="D16" i="49"/>
  <c r="E16" i="49" s="1"/>
  <c r="D15" i="49"/>
  <c r="E15" i="49" s="1"/>
  <c r="D14" i="49"/>
  <c r="E14" i="49" s="1"/>
  <c r="D13" i="49"/>
  <c r="E13" i="49" s="1"/>
  <c r="D12" i="49"/>
  <c r="E12" i="49" s="1"/>
  <c r="D11" i="49"/>
  <c r="E11" i="49" s="1"/>
  <c r="D10" i="49"/>
  <c r="E10" i="49" s="1"/>
  <c r="D9" i="49"/>
  <c r="E9" i="49" s="1"/>
  <c r="D8" i="49"/>
  <c r="E8" i="49" s="1"/>
  <c r="D7" i="49"/>
  <c r="E7" i="49" s="1"/>
  <c r="D6" i="49"/>
  <c r="E6" i="49" s="1"/>
  <c r="D5" i="49"/>
  <c r="E5" i="49" s="1"/>
  <c r="D4" i="49"/>
  <c r="E4" i="49" s="1"/>
  <c r="D23" i="48"/>
  <c r="E23" i="48" s="1"/>
  <c r="D22" i="48"/>
  <c r="E22" i="48" s="1"/>
  <c r="D21" i="48"/>
  <c r="E21" i="48" s="1"/>
  <c r="D20" i="48"/>
  <c r="E20" i="48" s="1"/>
  <c r="D19" i="48"/>
  <c r="E19" i="48" s="1"/>
  <c r="D18" i="48"/>
  <c r="E18" i="48" s="1"/>
  <c r="D17" i="48"/>
  <c r="E17" i="48" s="1"/>
  <c r="J16" i="48"/>
  <c r="D16" i="48"/>
  <c r="E16" i="48" s="1"/>
  <c r="D15" i="48"/>
  <c r="E15" i="48" s="1"/>
  <c r="D14" i="48"/>
  <c r="E14" i="48" s="1"/>
  <c r="D13" i="48"/>
  <c r="E13" i="48" s="1"/>
  <c r="D12" i="48"/>
  <c r="E12" i="48" s="1"/>
  <c r="D11" i="48"/>
  <c r="E11" i="48" s="1"/>
  <c r="D10" i="48"/>
  <c r="E10" i="48" s="1"/>
  <c r="D9" i="48"/>
  <c r="E9" i="48" s="1"/>
  <c r="D8" i="48"/>
  <c r="E8" i="48" s="1"/>
  <c r="D7" i="48"/>
  <c r="E7" i="48" s="1"/>
  <c r="D6" i="48"/>
  <c r="E6" i="48" s="1"/>
  <c r="D5" i="48"/>
  <c r="E5" i="48" s="1"/>
  <c r="D4" i="48"/>
  <c r="E4" i="48" s="1"/>
  <c r="C18" i="46"/>
  <c r="D18" i="46" s="1"/>
  <c r="C17" i="46"/>
  <c r="D17" i="46" s="1"/>
  <c r="C16" i="46"/>
  <c r="D16" i="46" s="1"/>
  <c r="C15" i="46"/>
  <c r="D15" i="46" s="1"/>
  <c r="C14" i="46"/>
  <c r="D14" i="46" s="1"/>
  <c r="C13" i="46"/>
  <c r="D13" i="46" s="1"/>
  <c r="H12" i="46"/>
  <c r="C12" i="46"/>
  <c r="D12" i="46" s="1"/>
  <c r="C11" i="46"/>
  <c r="D11" i="46" s="1"/>
  <c r="C10" i="46"/>
  <c r="D10" i="46" s="1"/>
  <c r="C9" i="46"/>
  <c r="D9" i="46" s="1"/>
  <c r="C8" i="46"/>
  <c r="D8" i="46" s="1"/>
  <c r="C7" i="46"/>
  <c r="D7" i="46" s="1"/>
  <c r="C6" i="46"/>
  <c r="D6" i="46" s="1"/>
  <c r="C5" i="46"/>
  <c r="D5" i="46" s="1"/>
  <c r="C4" i="46"/>
  <c r="D43" i="45"/>
  <c r="E43" i="45" s="1"/>
  <c r="D42" i="45"/>
  <c r="E42" i="45" s="1"/>
  <c r="D41" i="45"/>
  <c r="E41" i="45" s="1"/>
  <c r="D40" i="45"/>
  <c r="E40" i="45" s="1"/>
  <c r="D39" i="45"/>
  <c r="E39" i="45" s="1"/>
  <c r="D38" i="45"/>
  <c r="E38" i="45" s="1"/>
  <c r="D37" i="45"/>
  <c r="E37" i="45" s="1"/>
  <c r="D36" i="45"/>
  <c r="E36" i="45" s="1"/>
  <c r="D35" i="45"/>
  <c r="E35" i="45" s="1"/>
  <c r="D34" i="45"/>
  <c r="E34" i="45" s="1"/>
  <c r="D33" i="45"/>
  <c r="E33" i="45" s="1"/>
  <c r="D32" i="45"/>
  <c r="E32" i="45" s="1"/>
  <c r="D31" i="45"/>
  <c r="E31" i="45" s="1"/>
  <c r="D30" i="45"/>
  <c r="E30" i="45" s="1"/>
  <c r="D29" i="45"/>
  <c r="E29" i="45" s="1"/>
  <c r="D28" i="45"/>
  <c r="E28" i="45" s="1"/>
  <c r="D27" i="45"/>
  <c r="E27" i="45" s="1"/>
  <c r="D26" i="45"/>
  <c r="E26" i="45" s="1"/>
  <c r="D25" i="45"/>
  <c r="E25" i="45" s="1"/>
  <c r="D24" i="45"/>
  <c r="E24" i="45" s="1"/>
  <c r="D23" i="45"/>
  <c r="E23" i="45" s="1"/>
  <c r="D22" i="45"/>
  <c r="E22" i="45" s="1"/>
  <c r="D21" i="45"/>
  <c r="E21" i="45" s="1"/>
  <c r="D20" i="45"/>
  <c r="E20" i="45" s="1"/>
  <c r="D19" i="45"/>
  <c r="E19" i="45" s="1"/>
  <c r="D18" i="45"/>
  <c r="E18" i="45" s="1"/>
  <c r="D17" i="45"/>
  <c r="E17" i="45" s="1"/>
  <c r="D16" i="45"/>
  <c r="E16" i="45" s="1"/>
  <c r="D15" i="45"/>
  <c r="E15" i="45" s="1"/>
  <c r="D14" i="45"/>
  <c r="E14" i="45" s="1"/>
  <c r="D13" i="45"/>
  <c r="E13" i="45" s="1"/>
  <c r="I12" i="45"/>
  <c r="D12" i="45"/>
  <c r="E12" i="45" s="1"/>
  <c r="D11" i="45"/>
  <c r="E11" i="45" s="1"/>
  <c r="D10" i="45"/>
  <c r="E10" i="45" s="1"/>
  <c r="D9" i="45"/>
  <c r="E9" i="45" s="1"/>
  <c r="D8" i="45"/>
  <c r="E8" i="45" s="1"/>
  <c r="D7" i="45"/>
  <c r="E7" i="45" s="1"/>
  <c r="D6" i="45"/>
  <c r="E6" i="45" s="1"/>
  <c r="D5" i="45"/>
  <c r="D4" i="45"/>
  <c r="E4" i="45" s="1"/>
  <c r="C9" i="44"/>
  <c r="C12" i="44" s="1"/>
  <c r="I19" i="37"/>
  <c r="I18" i="37"/>
  <c r="B15" i="37"/>
  <c r="B14" i="37"/>
  <c r="B13" i="37"/>
  <c r="B12" i="37"/>
  <c r="D8" i="37"/>
  <c r="C8" i="37"/>
  <c r="E7" i="37"/>
  <c r="E6" i="37"/>
  <c r="I18" i="36"/>
  <c r="I17" i="36"/>
  <c r="B14" i="36"/>
  <c r="B13" i="36"/>
  <c r="B12" i="36"/>
  <c r="B11" i="36"/>
  <c r="D7" i="36"/>
  <c r="C7" i="36"/>
  <c r="E6" i="36"/>
  <c r="E5" i="36"/>
  <c r="D12" i="35"/>
  <c r="D14" i="35" s="1"/>
  <c r="C12" i="35"/>
  <c r="C14" i="35" s="1"/>
  <c r="C9" i="35"/>
  <c r="C7" i="35"/>
  <c r="J16" i="33"/>
  <c r="J15" i="33"/>
  <c r="D8" i="33"/>
  <c r="C8" i="33"/>
  <c r="E7" i="33"/>
  <c r="E6" i="33"/>
  <c r="J16" i="34"/>
  <c r="J15" i="34"/>
  <c r="D8" i="34"/>
  <c r="C8" i="34"/>
  <c r="E7" i="34"/>
  <c r="E6" i="34"/>
  <c r="G8" i="59" l="1"/>
  <c r="H8" i="59" s="1"/>
  <c r="I8" i="59" s="1"/>
  <c r="G4" i="59"/>
  <c r="G6" i="59"/>
  <c r="H6" i="59" s="1"/>
  <c r="I6" i="59" s="1"/>
  <c r="G9" i="59"/>
  <c r="H9" i="59" s="1"/>
  <c r="I9" i="59" s="1"/>
  <c r="I19" i="36"/>
  <c r="I20" i="36" s="1"/>
  <c r="D4" i="46"/>
  <c r="C21" i="46"/>
  <c r="G14" i="52"/>
  <c r="G22" i="52"/>
  <c r="C11" i="44"/>
  <c r="C14" i="44" s="1"/>
  <c r="I10" i="45"/>
  <c r="K15" i="61"/>
  <c r="G13" i="52"/>
  <c r="I20" i="37"/>
  <c r="I21" i="37" s="1"/>
  <c r="F8" i="48"/>
  <c r="F11" i="48"/>
  <c r="F14" i="48"/>
  <c r="F6" i="49"/>
  <c r="J8" i="49"/>
  <c r="F11" i="49"/>
  <c r="F14" i="49"/>
  <c r="D14" i="51"/>
  <c r="K24" i="61"/>
  <c r="H11" i="60"/>
  <c r="I11" i="60" s="1"/>
  <c r="J11" i="60" s="1"/>
  <c r="I5" i="60"/>
  <c r="H4" i="59"/>
  <c r="F4" i="58"/>
  <c r="H4" i="58" s="1"/>
  <c r="C26" i="58"/>
  <c r="D21" i="56"/>
  <c r="E21" i="56" s="1"/>
  <c r="D16" i="56"/>
  <c r="E16" i="56" s="1"/>
  <c r="D22" i="56"/>
  <c r="E22" i="56" s="1"/>
  <c r="D17" i="56"/>
  <c r="E17" i="56" s="1"/>
  <c r="D19" i="56"/>
  <c r="E19" i="56" s="1"/>
  <c r="D15" i="56"/>
  <c r="E15" i="56" s="1"/>
  <c r="D20" i="56"/>
  <c r="E20" i="56" s="1"/>
  <c r="D18" i="56"/>
  <c r="E18" i="56" s="1"/>
  <c r="G15" i="52"/>
  <c r="G23" i="52"/>
  <c r="G16" i="52"/>
  <c r="G20" i="52"/>
  <c r="F6" i="48"/>
  <c r="F28" i="49"/>
  <c r="F25" i="49"/>
  <c r="F24" i="49"/>
  <c r="F22" i="49"/>
  <c r="F20" i="49"/>
  <c r="F18" i="49"/>
  <c r="F16" i="49"/>
  <c r="J15" i="49"/>
  <c r="J16" i="49" s="1"/>
  <c r="F29" i="49"/>
  <c r="F27" i="49"/>
  <c r="F26" i="49"/>
  <c r="F23" i="49"/>
  <c r="F21" i="49"/>
  <c r="F19" i="49"/>
  <c r="F17" i="49"/>
  <c r="F12" i="49"/>
  <c r="F7" i="49"/>
  <c r="F32" i="49"/>
  <c r="F31" i="49"/>
  <c r="F30" i="49"/>
  <c r="F4" i="49"/>
  <c r="F9" i="49"/>
  <c r="F22" i="48"/>
  <c r="F20" i="48"/>
  <c r="F18" i="48"/>
  <c r="F16" i="48"/>
  <c r="F12" i="48"/>
  <c r="J17" i="48"/>
  <c r="F23" i="48"/>
  <c r="F21" i="48"/>
  <c r="F19" i="48"/>
  <c r="F17" i="48"/>
  <c r="F7" i="48"/>
  <c r="F4" i="48"/>
  <c r="F9" i="48"/>
  <c r="J18" i="48"/>
  <c r="F10" i="48"/>
  <c r="F15" i="48"/>
  <c r="F5" i="49"/>
  <c r="F10" i="49"/>
  <c r="F15" i="49"/>
  <c r="F5" i="48"/>
  <c r="F13" i="48"/>
  <c r="F8" i="49"/>
  <c r="F13" i="49"/>
  <c r="F33" i="49"/>
  <c r="J8" i="48"/>
  <c r="H14" i="46"/>
  <c r="H13" i="46"/>
  <c r="H10" i="46"/>
  <c r="E5" i="45"/>
  <c r="I13" i="45" s="1"/>
  <c r="H15" i="46"/>
  <c r="E7" i="36"/>
  <c r="I15" i="36" s="1"/>
  <c r="E8" i="37"/>
  <c r="I16" i="37" s="1"/>
  <c r="E8" i="33"/>
  <c r="C13" i="33" s="1"/>
  <c r="J17" i="33"/>
  <c r="J22" i="33" s="1"/>
  <c r="J17" i="34"/>
  <c r="J22" i="34" s="1"/>
  <c r="E8" i="34"/>
  <c r="D14" i="34" s="1"/>
  <c r="F14" i="34" s="1"/>
  <c r="D23" i="32"/>
  <c r="D22" i="32"/>
  <c r="D21" i="32"/>
  <c r="D20" i="32"/>
  <c r="L19" i="32"/>
  <c r="D19" i="32"/>
  <c r="L18" i="32"/>
  <c r="D18" i="32"/>
  <c r="D17" i="32"/>
  <c r="D16" i="32"/>
  <c r="D15" i="32"/>
  <c r="F7" i="32"/>
  <c r="E7" i="32"/>
  <c r="D7" i="32"/>
  <c r="G6" i="32"/>
  <c r="G5" i="32"/>
  <c r="G4" i="32"/>
  <c r="C25" i="31"/>
  <c r="C24" i="31"/>
  <c r="C23" i="31"/>
  <c r="C22" i="31"/>
  <c r="C21" i="31"/>
  <c r="C20" i="31"/>
  <c r="C19" i="31"/>
  <c r="K19" i="31"/>
  <c r="C18" i="31"/>
  <c r="K18" i="31"/>
  <c r="C17" i="31"/>
  <c r="C16" i="31"/>
  <c r="C15" i="31"/>
  <c r="C14" i="31"/>
  <c r="F7" i="31"/>
  <c r="E7" i="31"/>
  <c r="D7" i="31"/>
  <c r="C7" i="31"/>
  <c r="G6" i="31"/>
  <c r="G5" i="31"/>
  <c r="G4" i="31"/>
  <c r="C26" i="30"/>
  <c r="C25" i="30"/>
  <c r="C24" i="30"/>
  <c r="C23" i="30"/>
  <c r="C22" i="30"/>
  <c r="C21" i="30"/>
  <c r="C20" i="30"/>
  <c r="K19" i="30"/>
  <c r="C19" i="30"/>
  <c r="K18" i="30"/>
  <c r="C18" i="30"/>
  <c r="C17" i="30"/>
  <c r="C16" i="30"/>
  <c r="C15" i="30"/>
  <c r="F7" i="30"/>
  <c r="E7" i="30"/>
  <c r="D7" i="30"/>
  <c r="C7" i="30"/>
  <c r="G6" i="30"/>
  <c r="G5" i="30"/>
  <c r="G4" i="30"/>
  <c r="C23" i="29"/>
  <c r="C22" i="29"/>
  <c r="C21" i="29"/>
  <c r="C20" i="29"/>
  <c r="J19" i="29"/>
  <c r="C19" i="29"/>
  <c r="J18" i="29"/>
  <c r="C18" i="29"/>
  <c r="C17" i="29"/>
  <c r="C16" i="29"/>
  <c r="C15" i="29"/>
  <c r="E7" i="29"/>
  <c r="D7" i="29"/>
  <c r="C7" i="29"/>
  <c r="F6" i="29"/>
  <c r="F5" i="29"/>
  <c r="F4" i="29"/>
  <c r="C6" i="28"/>
  <c r="G10" i="59" l="1"/>
  <c r="H10" i="59" s="1"/>
  <c r="I10" i="59" s="1"/>
  <c r="G18" i="52"/>
  <c r="D14" i="33"/>
  <c r="F14" i="33" s="1"/>
  <c r="J13" i="33"/>
  <c r="G7" i="31"/>
  <c r="D19" i="31" s="1"/>
  <c r="E19" i="31" s="1"/>
  <c r="K20" i="31"/>
  <c r="K21" i="31" s="1"/>
  <c r="L20" i="32"/>
  <c r="L21" i="32" s="1"/>
  <c r="I14" i="45"/>
  <c r="I16" i="45" s="1"/>
  <c r="J20" i="29"/>
  <c r="J21" i="29" s="1"/>
  <c r="D13" i="33"/>
  <c r="F13" i="33" s="1"/>
  <c r="D17" i="51"/>
  <c r="D19" i="51" s="1"/>
  <c r="I15" i="45"/>
  <c r="I17" i="45" s="1"/>
  <c r="C14" i="33"/>
  <c r="E14" i="33" s="1"/>
  <c r="H16" i="46"/>
  <c r="G17" i="52"/>
  <c r="G21" i="52" s="1"/>
  <c r="H17" i="46"/>
  <c r="H24" i="46" s="1"/>
  <c r="J19" i="48"/>
  <c r="G7" i="30"/>
  <c r="D24" i="30" s="1"/>
  <c r="E24" i="30" s="1"/>
  <c r="K20" i="30"/>
  <c r="K21" i="30" s="1"/>
  <c r="C13" i="34"/>
  <c r="E13" i="34" s="1"/>
  <c r="J20" i="48"/>
  <c r="J18" i="49"/>
  <c r="J17" i="49"/>
  <c r="J19" i="49" s="1"/>
  <c r="J5" i="60"/>
  <c r="N15" i="60" s="1"/>
  <c r="N24" i="60"/>
  <c r="I4" i="59"/>
  <c r="M23" i="59"/>
  <c r="C21" i="58"/>
  <c r="C25" i="58" s="1"/>
  <c r="K12" i="56"/>
  <c r="K19" i="56" s="1"/>
  <c r="J21" i="49"/>
  <c r="J20" i="49"/>
  <c r="J22" i="48"/>
  <c r="J23" i="48"/>
  <c r="C13" i="37"/>
  <c r="D13" i="37" s="1"/>
  <c r="C14" i="37"/>
  <c r="D14" i="37" s="1"/>
  <c r="C15" i="37"/>
  <c r="D15" i="37" s="1"/>
  <c r="C12" i="37"/>
  <c r="D12" i="37" s="1"/>
  <c r="C12" i="36"/>
  <c r="D12" i="36" s="1"/>
  <c r="C13" i="36"/>
  <c r="D13" i="36" s="1"/>
  <c r="C14" i="36"/>
  <c r="D14" i="36" s="1"/>
  <c r="C11" i="36"/>
  <c r="D11" i="36" s="1"/>
  <c r="E13" i="33"/>
  <c r="J21" i="33"/>
  <c r="J13" i="34"/>
  <c r="D13" i="34"/>
  <c r="F13" i="34" s="1"/>
  <c r="C14" i="34"/>
  <c r="E14" i="34" s="1"/>
  <c r="D24" i="31"/>
  <c r="E24" i="31" s="1"/>
  <c r="G4" i="28"/>
  <c r="H4" i="28"/>
  <c r="F7" i="29"/>
  <c r="D16" i="29" s="1"/>
  <c r="E16" i="29" s="1"/>
  <c r="D25" i="31"/>
  <c r="E25" i="31" s="1"/>
  <c r="G7" i="32"/>
  <c r="E18" i="32" s="1"/>
  <c r="F18" i="32" s="1"/>
  <c r="M14" i="59" l="1"/>
  <c r="M22" i="59" s="1"/>
  <c r="J14" i="33"/>
  <c r="J20" i="33" s="1"/>
  <c r="D21" i="30"/>
  <c r="E21" i="30" s="1"/>
  <c r="D16" i="30"/>
  <c r="E16" i="30" s="1"/>
  <c r="D22" i="30"/>
  <c r="E22" i="30" s="1"/>
  <c r="D25" i="30"/>
  <c r="E25" i="30" s="1"/>
  <c r="D23" i="30"/>
  <c r="E23" i="30" s="1"/>
  <c r="D18" i="30"/>
  <c r="E18" i="30" s="1"/>
  <c r="D19" i="30"/>
  <c r="E19" i="30" s="1"/>
  <c r="D15" i="30"/>
  <c r="E15" i="30" s="1"/>
  <c r="K15" i="30" s="1"/>
  <c r="K22" i="30" s="1"/>
  <c r="D17" i="30"/>
  <c r="E17" i="30" s="1"/>
  <c r="D20" i="30"/>
  <c r="E20" i="30" s="1"/>
  <c r="D26" i="30"/>
  <c r="E26" i="30" s="1"/>
  <c r="D17" i="31"/>
  <c r="E17" i="31" s="1"/>
  <c r="D18" i="31"/>
  <c r="E18" i="31" s="1"/>
  <c r="D22" i="31"/>
  <c r="E22" i="31" s="1"/>
  <c r="D20" i="31"/>
  <c r="E20" i="31" s="1"/>
  <c r="D23" i="31"/>
  <c r="E23" i="31" s="1"/>
  <c r="D16" i="31"/>
  <c r="E16" i="31" s="1"/>
  <c r="D21" i="31"/>
  <c r="E21" i="31" s="1"/>
  <c r="D14" i="31"/>
  <c r="E14" i="31" s="1"/>
  <c r="D15" i="31"/>
  <c r="E15" i="31" s="1"/>
  <c r="K15" i="31" s="1"/>
  <c r="K22" i="31" s="1"/>
  <c r="I36" i="45"/>
  <c r="I35" i="45"/>
  <c r="I37" i="45" s="1"/>
  <c r="H23" i="46"/>
  <c r="H22" i="46"/>
  <c r="H21" i="46"/>
  <c r="G24" i="52"/>
  <c r="G27" i="52" s="1"/>
  <c r="G19" i="52"/>
  <c r="H20" i="46"/>
  <c r="H26" i="46" s="1"/>
  <c r="H27" i="46" s="1"/>
  <c r="I16" i="36"/>
  <c r="I21" i="36" s="1"/>
  <c r="I17" i="37"/>
  <c r="I22" i="37" s="1"/>
  <c r="I21" i="45"/>
  <c r="I25" i="45"/>
  <c r="I22" i="45"/>
  <c r="I26" i="45"/>
  <c r="I24" i="45"/>
  <c r="I23" i="45"/>
  <c r="I20" i="45"/>
  <c r="I28" i="45" s="1"/>
  <c r="I29" i="45" s="1"/>
  <c r="J22" i="49"/>
  <c r="J25" i="49" s="1"/>
  <c r="J30" i="49" s="1"/>
  <c r="D22" i="29"/>
  <c r="E22" i="29" s="1"/>
  <c r="D19" i="29"/>
  <c r="E19" i="29" s="1"/>
  <c r="J21" i="48"/>
  <c r="J24" i="48" s="1"/>
  <c r="J26" i="48" s="1"/>
  <c r="K23" i="61"/>
  <c r="K22" i="61"/>
  <c r="N23" i="60"/>
  <c r="N22" i="60"/>
  <c r="M21" i="59"/>
  <c r="J21" i="34"/>
  <c r="J14" i="34"/>
  <c r="E16" i="32"/>
  <c r="F16" i="32" s="1"/>
  <c r="E22" i="32"/>
  <c r="F22" i="32" s="1"/>
  <c r="D21" i="29"/>
  <c r="E21" i="29" s="1"/>
  <c r="E15" i="32"/>
  <c r="F15" i="32" s="1"/>
  <c r="E23" i="32"/>
  <c r="F23" i="32" s="1"/>
  <c r="E21" i="32"/>
  <c r="F21" i="32" s="1"/>
  <c r="D20" i="29"/>
  <c r="E20" i="29" s="1"/>
  <c r="D18" i="29"/>
  <c r="E18" i="29" s="1"/>
  <c r="D15" i="29"/>
  <c r="E15" i="29" s="1"/>
  <c r="E19" i="32"/>
  <c r="F19" i="32" s="1"/>
  <c r="E20" i="32"/>
  <c r="F20" i="32" s="1"/>
  <c r="E17" i="32"/>
  <c r="F17" i="32" s="1"/>
  <c r="D23" i="29"/>
  <c r="E23" i="29" s="1"/>
  <c r="D17" i="29"/>
  <c r="E17" i="29" s="1"/>
  <c r="J19" i="33" l="1"/>
  <c r="J20" i="34"/>
  <c r="J19" i="34"/>
  <c r="J15" i="29"/>
  <c r="J22" i="29" s="1"/>
  <c r="L15" i="32"/>
  <c r="L22" i="32" s="1"/>
  <c r="D18" i="57" l="1"/>
  <c r="E18" i="57" s="1"/>
  <c r="D15" i="57"/>
  <c r="E15" i="57" s="1"/>
  <c r="J17" i="57"/>
  <c r="D17" i="57"/>
  <c r="E17" i="57" s="1"/>
  <c r="D19" i="57"/>
  <c r="E19" i="57" s="1"/>
  <c r="D20" i="57"/>
  <c r="E20" i="57" s="1"/>
  <c r="D16" i="57"/>
  <c r="E16" i="57" s="1"/>
  <c r="J18" i="57" l="1"/>
  <c r="J12" i="57"/>
  <c r="J19" i="57" s="1"/>
  <c r="D4" i="62"/>
  <c r="H14" i="62" l="1"/>
  <c r="H13" i="62"/>
  <c r="H16" i="62" s="1"/>
  <c r="H15" i="62"/>
  <c r="H17" i="62" s="1"/>
  <c r="H24" i="62" l="1"/>
  <c r="H20" i="62"/>
  <c r="H23" i="62"/>
  <c r="H25" i="62"/>
  <c r="H21" i="62"/>
  <c r="H22" i="62"/>
  <c r="H27" i="62" l="1"/>
  <c r="H29" i="62" s="1"/>
</calcChain>
</file>

<file path=xl/sharedStrings.xml><?xml version="1.0" encoding="utf-8"?>
<sst xmlns="http://schemas.openxmlformats.org/spreadsheetml/2006/main" count="875" uniqueCount="407">
  <si>
    <t>Observed frequencies</t>
  </si>
  <si>
    <t>TOTALS</t>
  </si>
  <si>
    <t>O</t>
  </si>
  <si>
    <t>R</t>
  </si>
  <si>
    <t>Chi square test of association</t>
  </si>
  <si>
    <t>E</t>
  </si>
  <si>
    <t>Critical test statistic</t>
  </si>
  <si>
    <t>r =</t>
  </si>
  <si>
    <t>c =</t>
  </si>
  <si>
    <t>df =</t>
  </si>
  <si>
    <t>Totals</t>
  </si>
  <si>
    <t>(O-E)^2/E</t>
  </si>
  <si>
    <t>Proportion using train p =</t>
  </si>
  <si>
    <t>p-value =</t>
  </si>
  <si>
    <t>After</t>
  </si>
  <si>
    <t>Before</t>
  </si>
  <si>
    <t>Fit a Poisson Distribution and calculate the Test statistic</t>
  </si>
  <si>
    <t>Observed frequency, O</t>
  </si>
  <si>
    <t>X * O</t>
  </si>
  <si>
    <t>P(X)</t>
  </si>
  <si>
    <t>(O - E)^2/E</t>
  </si>
  <si>
    <t>Chi square test of goodness of fit</t>
  </si>
  <si>
    <t>Estimated mean =</t>
  </si>
  <si>
    <t>Critical values</t>
  </si>
  <si>
    <t>n =</t>
  </si>
  <si>
    <t>k =</t>
  </si>
  <si>
    <t>Critical value chi-square =</t>
  </si>
  <si>
    <t>Sign test for matched pairs</t>
  </si>
  <si>
    <t>Sign</t>
  </si>
  <si>
    <t>Upper one tail test</t>
  </si>
  <si>
    <t>median d =</t>
  </si>
  <si>
    <t>Probability of success p =</t>
  </si>
  <si>
    <t>Total number of trials N =</t>
  </si>
  <si>
    <t>number of binomial trials n' =</t>
  </si>
  <si>
    <t>P(X = 12) =</t>
  </si>
  <si>
    <t>P(X = 13) =</t>
  </si>
  <si>
    <t>P(X = 15) =</t>
  </si>
  <si>
    <t>P(X = 16) =</t>
  </si>
  <si>
    <t>one sided binomial p-value =</t>
  </si>
  <si>
    <t>Upper one tail p-value =</t>
  </si>
  <si>
    <t>X</t>
  </si>
  <si>
    <t>Y</t>
  </si>
  <si>
    <t>ABS(d)</t>
  </si>
  <si>
    <t>Rank*</t>
  </si>
  <si>
    <t>Median difference =</t>
  </si>
  <si>
    <t>Wilcoxon signed rank test</t>
  </si>
  <si>
    <t>n' =</t>
  </si>
  <si>
    <t>T - =</t>
  </si>
  <si>
    <t>T + =</t>
  </si>
  <si>
    <t>Mann-Whitney U test</t>
  </si>
  <si>
    <t>Training type</t>
  </si>
  <si>
    <t>Combined Samples</t>
  </si>
  <si>
    <t>Median sample 1 =</t>
  </si>
  <si>
    <t>Median sample 2 =</t>
  </si>
  <si>
    <t>Method 1:</t>
  </si>
  <si>
    <t>Method 2:</t>
  </si>
  <si>
    <t>Method 1a:</t>
  </si>
  <si>
    <t>Method 1b:</t>
  </si>
  <si>
    <t>Method 1c:</t>
  </si>
  <si>
    <t>Participant</t>
  </si>
  <si>
    <t>significance level α =</t>
  </si>
  <si>
    <t>Two tail test</t>
  </si>
  <si>
    <t xml:space="preserve"> α =</t>
  </si>
  <si>
    <t>or p-value using CHISQ.DIST =</t>
  </si>
  <si>
    <t>Step 1 - Hypothesis Test</t>
  </si>
  <si>
    <t>Step 2 - Select Test</t>
  </si>
  <si>
    <t>Step 3 - Select level of significance</t>
  </si>
  <si>
    <t>Step 4 - Extract relevant statistic</t>
  </si>
  <si>
    <t>Step 5 - Make a decision</t>
  </si>
  <si>
    <t>or p-value using CHISQ.TEST =</t>
  </si>
  <si>
    <t>P-value =</t>
  </si>
  <si>
    <t>Estimated number of population parameters = 1</t>
  </si>
  <si>
    <t>Sample size, n =</t>
  </si>
  <si>
    <r>
      <t>Sample variance, 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</si>
  <si>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r>
      <t xml:space="preserve">Level of significance, 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</rPr>
      <t xml:space="preserve"> =</t>
    </r>
  </si>
  <si>
    <t>Degrees of freedom, df =</t>
  </si>
  <si>
    <t>Chi-square test statistic =</t>
  </si>
  <si>
    <r>
      <t>Sample standard deviation, s</t>
    </r>
    <r>
      <rPr>
        <sz val="11"/>
        <color theme="1"/>
        <rFont val="Calibri"/>
        <family val="2"/>
        <scheme val="minor"/>
      </rPr>
      <t xml:space="preserve"> =</t>
    </r>
  </si>
  <si>
    <r>
      <t xml:space="preserve">Null hypothesis: </t>
    </r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</si>
  <si>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r>
      <t xml:space="preserve">Alternative hypothesis: </t>
    </r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≠</t>
    </r>
  </si>
  <si>
    <t>Decision:</t>
  </si>
  <si>
    <t>Two-tail test</t>
  </si>
  <si>
    <t>Lower critical chi-square=</t>
  </si>
  <si>
    <t>test statistic =</t>
  </si>
  <si>
    <t>Sig =</t>
  </si>
  <si>
    <t>Man</t>
  </si>
  <si>
    <t>Retail</t>
  </si>
  <si>
    <t>Hypothesis Test</t>
  </si>
  <si>
    <t>Low</t>
  </si>
  <si>
    <t>Moderate</t>
  </si>
  <si>
    <t>High</t>
  </si>
  <si>
    <t>Select Test</t>
  </si>
  <si>
    <t>Select level of significance</t>
  </si>
  <si>
    <t>Expected Frequencies and Test Statistic</t>
  </si>
  <si>
    <t>significance level =</t>
  </si>
  <si>
    <t>Extract relevant statistic</t>
  </si>
  <si>
    <t>=(D15-E15)^2/E15</t>
  </si>
  <si>
    <t>Mod</t>
  </si>
  <si>
    <t>Make a decision</t>
  </si>
  <si>
    <t>Significant association exists between level of risk and industrial class.</t>
  </si>
  <si>
    <t>L</t>
  </si>
  <si>
    <t>M</t>
  </si>
  <si>
    <t>H</t>
  </si>
  <si>
    <t>VH</t>
  </si>
  <si>
    <t>Significant association exists between level of shift and defect.</t>
  </si>
  <si>
    <t>B</t>
  </si>
  <si>
    <t>F</t>
  </si>
  <si>
    <t>NC</t>
  </si>
  <si>
    <t>No significant association exists between level of optimism and type of business.</t>
  </si>
  <si>
    <t>60+</t>
  </si>
  <si>
    <t>40-59</t>
  </si>
  <si>
    <t>&lt;40</t>
  </si>
  <si>
    <t>German</t>
  </si>
  <si>
    <t>Significant association exists between performance in English and German.</t>
  </si>
  <si>
    <t>[Borderline decision - alternative decision if 1%]</t>
  </si>
  <si>
    <t>Do not watch athletics</t>
  </si>
  <si>
    <t>Watch athletics</t>
  </si>
  <si>
    <t>Drink wine</t>
  </si>
  <si>
    <t>Do not drink wine</t>
  </si>
  <si>
    <t>E WA</t>
  </si>
  <si>
    <t>E DNWA</t>
  </si>
  <si>
    <t>Category data variables (wine, athletics)</t>
  </si>
  <si>
    <t>Significantly different proportions drink wine and watch athletics</t>
  </si>
  <si>
    <t>Yes</t>
  </si>
  <si>
    <t>No</t>
  </si>
  <si>
    <t>J22=0.0226 &lt; J13=0.05</t>
  </si>
  <si>
    <t>J17=9.053 &gt; J25=3.841</t>
  </si>
  <si>
    <t>Significantly different proportions between the two hotels</t>
  </si>
  <si>
    <t>Critical Z =</t>
  </si>
  <si>
    <t>Fleet</t>
  </si>
  <si>
    <t>IC</t>
  </si>
  <si>
    <t>Category data variables (influenced, type)</t>
  </si>
  <si>
    <t>Not significantly different proportions</t>
  </si>
  <si>
    <t>Category data variables (before, after)</t>
  </si>
  <si>
    <t>Significantly different proportions [borderline decision]</t>
  </si>
  <si>
    <t>[no class merges required since all expected frequencies &gt; 5]</t>
  </si>
  <si>
    <t>two-tail p-value =</t>
  </si>
  <si>
    <t>alpha =</t>
  </si>
  <si>
    <t>Chi-square =</t>
  </si>
  <si>
    <t>(O-E)^2</t>
  </si>
  <si>
    <t>The CHISQ.TEST() will only agree with other answer if no values are estimated, k = 0.</t>
  </si>
  <si>
    <t>Note:</t>
  </si>
  <si>
    <t>or two-tail p-value =</t>
  </si>
  <si>
    <t>Σp =</t>
  </si>
  <si>
    <t>p3 =</t>
  </si>
  <si>
    <t>p2 =</t>
  </si>
  <si>
    <t>p1 =</t>
  </si>
  <si>
    <t>Total frequency =</t>
  </si>
  <si>
    <t>A</t>
  </si>
  <si>
    <t>Expected frequency, E</t>
  </si>
  <si>
    <t>r+ =</t>
  </si>
  <si>
    <t>r-=</t>
  </si>
  <si>
    <t>ties =</t>
  </si>
  <si>
    <t>Binomial p=</t>
  </si>
  <si>
    <t>One sided binomial p-value =</t>
  </si>
  <si>
    <t>Evidence suggests that the median value &gt; 0.5</t>
  </si>
  <si>
    <t>Person</t>
  </si>
  <si>
    <t>d = A-B</t>
  </si>
  <si>
    <t>Significance level =</t>
  </si>
  <si>
    <t>Test statistic x =</t>
  </si>
  <si>
    <t>Use exact method or normal approximation (n &gt; 25)</t>
  </si>
  <si>
    <t>=IF(C4&lt;0,"-",IF(C4&gt;0,"+","0"))</t>
  </si>
  <si>
    <t>Use exact method since n &lt; 25</t>
  </si>
  <si>
    <t>P(X =11) =</t>
  </si>
  <si>
    <t>The Wilcoxon signed rank sum test is used to test the null hypothesis that the median of a distribution is equal to a particular value.</t>
  </si>
  <si>
    <t>This is what the Sign test measures but the Wilcoxon test also takes into account the magnitude of the number values.</t>
  </si>
  <si>
    <t>Given that it uses more information from the data set it is therefore considered to be more powerful.</t>
  </si>
  <si>
    <t>The sign test only uses the signs of the differences but the Wilcoxon test ranks the data and then measures the difference in the rank values.</t>
  </si>
  <si>
    <t>d=X-Y-D</t>
  </si>
  <si>
    <t>Median centered at Do =</t>
  </si>
  <si>
    <t>Mann-Whitney U test assumptions</t>
  </si>
  <si>
    <t>Samples are random and independent</t>
  </si>
  <si>
    <t>Sample distributions are continuous</t>
  </si>
  <si>
    <t>Data scale at least ordinal so that you can put a meaning to 'less than', 'equal', or 'greater than'</t>
  </si>
  <si>
    <t>Select test</t>
  </si>
  <si>
    <t>Set level of significance</t>
  </si>
  <si>
    <t>Significance Level =</t>
  </si>
  <si>
    <t>Sum of ranks sample 1 =</t>
  </si>
  <si>
    <t>Ucal =</t>
  </si>
  <si>
    <t>Two tail p-value =</t>
  </si>
  <si>
    <t>[Borderline decision - if you change to 1% then your decision may change]</t>
  </si>
  <si>
    <t>Support Green</t>
  </si>
  <si>
    <t>Indifferent</t>
  </si>
  <si>
    <t>Opposed</t>
  </si>
  <si>
    <t>Con</t>
  </si>
  <si>
    <t>Lab</t>
  </si>
  <si>
    <t>Lib</t>
  </si>
  <si>
    <t>Category data variables (risk, industry)</t>
  </si>
  <si>
    <t>Shift</t>
  </si>
  <si>
    <t>Defect type</t>
  </si>
  <si>
    <t>Optimism</t>
  </si>
  <si>
    <t>Type of business</t>
  </si>
  <si>
    <t>French</t>
  </si>
  <si>
    <t>Political Party</t>
  </si>
  <si>
    <t>Green issues</t>
  </si>
  <si>
    <t>Category data variables (shift, defect type)</t>
  </si>
  <si>
    <t>Category data variables (optimism, type of business)</t>
  </si>
  <si>
    <t>Category data variables (German, French)</t>
  </si>
  <si>
    <t>Category data variables (political party, green issues)</t>
  </si>
  <si>
    <t>No significant association exists between political party and green issues.</t>
  </si>
  <si>
    <t>Outcome</t>
  </si>
  <si>
    <t>Defective</t>
  </si>
  <si>
    <t>Non-defective</t>
  </si>
  <si>
    <t>Machine</t>
  </si>
  <si>
    <t>Category data variables (defective, non-defective)</t>
  </si>
  <si>
    <t>No significant association exists between defective and non-defective.</t>
  </si>
  <si>
    <t>Rating</t>
  </si>
  <si>
    <t>Excellent</t>
  </si>
  <si>
    <t>Good</t>
  </si>
  <si>
    <t>Rejected</t>
  </si>
  <si>
    <t>The evidence indicates that the proportions are different than those claimed by the company.</t>
  </si>
  <si>
    <t>Number of phishing attempts, X</t>
  </si>
  <si>
    <t>No significant relationship exists between the observed and expected frequencies.</t>
  </si>
  <si>
    <t>This implies that the data do not come from a Poisson probability distribution.</t>
  </si>
  <si>
    <t>Estimated number of population parameters = 0</t>
  </si>
  <si>
    <t>Month</t>
  </si>
  <si>
    <t>Fit a Uniform Distribution and calculate the Test statistic</t>
  </si>
  <si>
    <t>This implies that the data do not come from a uniform probability distribution.</t>
  </si>
  <si>
    <t>This suggests that the milk production per month does not follow a uniform distribution.</t>
  </si>
  <si>
    <r>
      <t>H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 8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, H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: </t>
    </r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&lt; 8</t>
    </r>
    <r>
      <rPr>
        <vertAlign val="superscript"/>
        <sz val="11"/>
        <color theme="1"/>
        <rFont val="Calibri"/>
        <family val="2"/>
      </rPr>
      <t>2</t>
    </r>
  </si>
  <si>
    <t>Lower one-tail test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</si>
  <si>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</rPr>
      <t xml:space="preserve"> =</t>
    </r>
  </si>
  <si>
    <t>Patient</t>
  </si>
  <si>
    <t>d = X - D = X - 22</t>
  </si>
  <si>
    <t>d = X - D = X - 25</t>
  </si>
  <si>
    <t>Upper One tail test</t>
  </si>
  <si>
    <t>P(X =10) =</t>
  </si>
  <si>
    <t>P(X =15) =</t>
  </si>
  <si>
    <t>P(X = 17) =</t>
  </si>
  <si>
    <t>P(X = 18) =</t>
  </si>
  <si>
    <t>P(X = 19) =</t>
  </si>
  <si>
    <t>P(X = 20) =</t>
  </si>
  <si>
    <t>Two-tail p-value =</t>
  </si>
  <si>
    <t>Group 1 - Stats</t>
  </si>
  <si>
    <t>Groupm 2 - e-Commerce</t>
  </si>
  <si>
    <t>Combined Samples (hours studied)</t>
  </si>
  <si>
    <t>H30=0.2372 &gt; H12=0.05</t>
  </si>
  <si>
    <t>H31 = - 1.18 &gt; H32 = - 1.96 but &lt; H33 = + 1.96</t>
  </si>
  <si>
    <t>SPSS solution</t>
  </si>
  <si>
    <t>T =</t>
  </si>
  <si>
    <t>diff d</t>
  </si>
  <si>
    <t>Two sided p-value =</t>
  </si>
  <si>
    <t>Two-sided binomial p-value =</t>
  </si>
  <si>
    <t>T=</t>
  </si>
  <si>
    <t>x</t>
  </si>
  <si>
    <t>Population mean = np =</t>
  </si>
  <si>
    <t>Population standard deviation = sqrt(npq) =</t>
  </si>
  <si>
    <t>Normal approximation solution</t>
  </si>
  <si>
    <t>Sample median =</t>
  </si>
  <si>
    <t>If 2-tail, then 2-tail p-value =</t>
  </si>
  <si>
    <t>If 2 tail, then 2-tail p-value =</t>
  </si>
  <si>
    <t>X8.1</t>
  </si>
  <si>
    <t>X8.2</t>
  </si>
  <si>
    <t>X8.3</t>
  </si>
  <si>
    <t>X8.4</t>
  </si>
  <si>
    <t>X8.5</t>
  </si>
  <si>
    <t>X8.6 Chi squared test for 2 independent samples</t>
  </si>
  <si>
    <t>X8.7 Chi squared test for 2 independent samples</t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</si>
  <si>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Risk and industry are not associated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</si>
  <si>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Risk and industry are associated</t>
    </r>
  </si>
  <si>
    <r>
      <t>(O-E)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/E</t>
    </r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</si>
  <si>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Shift and defect type are not associated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</si>
  <si>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Shift and defect type are associated</t>
    </r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</si>
  <si>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Optimism and type of business are not associated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</si>
  <si>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Optimism and type of business are associated</t>
    </r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</si>
  <si>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German and French are not associated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</si>
  <si>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German and French are associated</t>
    </r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</si>
  <si>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No difference in proportions exists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</si>
  <si>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Difference between proportions</t>
    </r>
  </si>
  <si>
    <r>
      <t>Since p-value &lt; α, Reject 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, Accept H</t>
    </r>
    <r>
      <rPr>
        <vertAlign val="subscript"/>
        <sz val="11"/>
        <rFont val="Calibri"/>
        <family val="2"/>
        <scheme val="minor"/>
      </rPr>
      <t>1</t>
    </r>
  </si>
  <si>
    <t>X8.8</t>
  </si>
  <si>
    <r>
      <t>Z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=</t>
    </r>
  </si>
  <si>
    <t>X8.9</t>
  </si>
  <si>
    <t>X8.10</t>
  </si>
  <si>
    <t>X8.11</t>
  </si>
  <si>
    <r>
      <t>Given p &lt; 0.05, accept H</t>
    </r>
    <r>
      <rPr>
        <vertAlign val="subscript"/>
        <sz val="11"/>
        <rFont val="Calibri"/>
        <family val="2"/>
        <scheme val="minor"/>
      </rPr>
      <t>1</t>
    </r>
  </si>
  <si>
    <t>X8.12</t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</si>
  <si>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Median difference  d = A - B = zero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</si>
  <si>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Median difference d = A - B &lt;&gt; zero</t>
    </r>
  </si>
  <si>
    <r>
      <t>r</t>
    </r>
    <r>
      <rPr>
        <vertAlign val="subscript"/>
        <sz val="11"/>
        <rFont val="Calibri"/>
        <family val="2"/>
        <scheme val="minor"/>
      </rPr>
      <t>-</t>
    </r>
    <r>
      <rPr>
        <sz val="11"/>
        <rFont val="Calibri"/>
        <family val="2"/>
        <scheme val="minor"/>
      </rPr>
      <t xml:space="preserve"> =</t>
    </r>
  </si>
  <si>
    <r>
      <t>r</t>
    </r>
    <r>
      <rPr>
        <vertAlign val="subscript"/>
        <sz val="11"/>
        <rFont val="Calibri"/>
        <family val="2"/>
        <scheme val="minor"/>
      </rPr>
      <t>+</t>
    </r>
    <r>
      <rPr>
        <sz val="11"/>
        <rFont val="Calibri"/>
        <family val="2"/>
        <scheme val="minor"/>
      </rPr>
      <t xml:space="preserve"> =</t>
    </r>
  </si>
  <si>
    <r>
      <t>r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 xml:space="preserve"> =</t>
    </r>
  </si>
  <si>
    <r>
      <t>Since two-tailed binomial p-value = 0.001 &lt; 0.05/2 = 0.025 Reject H</t>
    </r>
    <r>
      <rPr>
        <vertAlign val="subscript"/>
        <sz val="11"/>
        <rFont val="Calibri"/>
        <family val="2"/>
        <scheme val="minor"/>
      </rPr>
      <t>0</t>
    </r>
  </si>
  <si>
    <t>X8.13</t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</si>
  <si>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Median difference  d &lt;= 0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</si>
  <si>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Median difference d &gt; 0</t>
    </r>
  </si>
  <si>
    <t>X8.14</t>
  </si>
  <si>
    <t>X8.15</t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</si>
  <si>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A - B - D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 xml:space="preserve"> &lt;= 0)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</si>
  <si>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A - B - D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 xml:space="preserve"> &gt; 0</t>
    </r>
  </si>
  <si>
    <r>
      <t>n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 xml:space="preserve"> =</t>
    </r>
  </si>
  <si>
    <r>
      <t>Upper one tail Z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=</t>
    </r>
  </si>
  <si>
    <r>
      <t>Since Z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&lt; Z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(- 3.13 &lt; - 1.6449) Accept H</t>
    </r>
    <r>
      <rPr>
        <vertAlign val="subscript"/>
        <sz val="11"/>
        <rFont val="Calibri"/>
        <family val="2"/>
        <scheme val="minor"/>
      </rPr>
      <t>1</t>
    </r>
  </si>
  <si>
    <r>
      <t>Since upper one tail p-value (0.0009 &lt; 0.05), Accept H</t>
    </r>
    <r>
      <rPr>
        <vertAlign val="subscript"/>
        <sz val="11"/>
        <rFont val="Calibri"/>
        <family val="2"/>
        <scheme val="minor"/>
      </rPr>
      <t>1</t>
    </r>
  </si>
  <si>
    <t>X8.16</t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</si>
  <si>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B - A - D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 xml:space="preserve"> &lt;= 0)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</si>
  <si>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B - A - D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 xml:space="preserve"> &gt; 0</t>
    </r>
  </si>
  <si>
    <r>
      <t>Z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=</t>
    </r>
  </si>
  <si>
    <r>
      <t>Since Z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&lt; Z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(- 4.49 &lt; - 1.6449) Accept H</t>
    </r>
    <r>
      <rPr>
        <vertAlign val="subscript"/>
        <sz val="11"/>
        <rFont val="Calibri"/>
        <family val="2"/>
        <scheme val="minor"/>
      </rPr>
      <t>1</t>
    </r>
  </si>
  <si>
    <t>X8.17</t>
  </si>
  <si>
    <t>X8.18</t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</si>
  <si>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No improvement in performance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</si>
  <si>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Performance improved M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&gt; M</t>
    </r>
    <r>
      <rPr>
        <vertAlign val="subscript"/>
        <sz val="11"/>
        <rFont val="Calibri"/>
        <family val="2"/>
        <scheme val="minor"/>
      </rPr>
      <t>1</t>
    </r>
  </si>
  <si>
    <r>
      <t>n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</si>
  <si>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</si>
  <si>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r>
      <t>U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</t>
    </r>
  </si>
  <si>
    <r>
      <t>U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</si>
  <si>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r>
      <t>Since Z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&lt; Z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(0.67 &lt; 1.65), Accept H</t>
    </r>
    <r>
      <rPr>
        <vertAlign val="subscript"/>
        <sz val="11"/>
        <rFont val="Calibri"/>
        <family val="2"/>
        <scheme val="minor"/>
      </rPr>
      <t>0</t>
    </r>
  </si>
  <si>
    <r>
      <t>Since upper one tailed p-value (0.25) &gt; 0.05, Accept H</t>
    </r>
    <r>
      <rPr>
        <vertAlign val="subscript"/>
        <sz val="11"/>
        <rFont val="Calibri"/>
        <family val="2"/>
        <scheme val="minor"/>
      </rPr>
      <t>0</t>
    </r>
  </si>
  <si>
    <t>X8.19</t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</si>
  <si>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Interest rates same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</si>
  <si>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Interest rates different</t>
    </r>
  </si>
  <si>
    <r>
      <t>T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</t>
    </r>
  </si>
  <si>
    <r>
      <t>T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</si>
  <si>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r>
      <t>T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max =</t>
    </r>
  </si>
  <si>
    <r>
      <t>T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max =</t>
    </r>
  </si>
  <si>
    <r>
      <t>U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+U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</si>
  <si>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</si>
  <si>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r>
      <t>U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=</t>
    </r>
  </si>
  <si>
    <r>
      <t>Lower two tail tail Z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=</t>
    </r>
  </si>
  <si>
    <r>
      <t>Since Z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&lt; Z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(-3.0 &lt; -1.96), Accept H</t>
    </r>
    <r>
      <rPr>
        <vertAlign val="subscript"/>
        <sz val="11"/>
        <rFont val="Calibri"/>
        <family val="2"/>
        <scheme val="minor"/>
      </rPr>
      <t>1</t>
    </r>
  </si>
  <si>
    <r>
      <t>Since lower two tailed p-value (0.0024) &lt; 0.05, Accept H</t>
    </r>
    <r>
      <rPr>
        <vertAlign val="subscript"/>
        <sz val="11"/>
        <rFont val="Calibri"/>
        <family val="2"/>
        <scheme val="minor"/>
      </rPr>
      <t>1</t>
    </r>
  </si>
  <si>
    <t>TU8.1</t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</si>
  <si>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Political party and green issues are not associated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</si>
  <si>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Political party and green issues are associated</t>
    </r>
  </si>
  <si>
    <t>TU8.2</t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</si>
  <si>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Defective and non-defective are not associated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</si>
  <si>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Defective and non-defective are associated</t>
    </r>
  </si>
  <si>
    <t>TU8.3</t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</si>
  <si>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the proportions are as claimed by the company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</si>
  <si>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at least one of the claimed proportions is incorrect</t>
    </r>
  </si>
  <si>
    <r>
      <t>Given p &lt; 0.05, reject 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 xml:space="preserve"> and accept H</t>
    </r>
    <r>
      <rPr>
        <vertAlign val="subscript"/>
        <sz val="11"/>
        <rFont val="Calibri"/>
        <family val="2"/>
        <scheme val="minor"/>
      </rPr>
      <t>1</t>
    </r>
  </si>
  <si>
    <t>TU8.4</t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</si>
  <si>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Number of phishing attempts follow a Poisson distribution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</si>
  <si>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Number of phishing attempts do not follow a Poisson distribution</t>
    </r>
  </si>
  <si>
    <r>
      <t>Since p-value &lt; α, reject H</t>
    </r>
    <r>
      <rPr>
        <vertAlign val="subscript"/>
        <sz val="11"/>
        <rFont val="Calibri"/>
        <family val="2"/>
        <scheme val="minor"/>
      </rPr>
      <t>0</t>
    </r>
  </si>
  <si>
    <t>TU8.5</t>
  </si>
  <si>
    <t>TU8.6</t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</si>
  <si>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Milk production follows a uniform distribution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</si>
  <si>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Milk production does not follow a uniform distribution</t>
    </r>
  </si>
  <si>
    <t>TU8.7</t>
  </si>
  <si>
    <t>TU8.8</t>
  </si>
  <si>
    <r>
      <t>Since one sided binomial p-value = 0.0207 &lt; 0.05 Accept H</t>
    </r>
    <r>
      <rPr>
        <vertAlign val="subscript"/>
        <sz val="11"/>
        <rFont val="Calibri"/>
        <family val="2"/>
        <scheme val="minor"/>
      </rPr>
      <t>1</t>
    </r>
  </si>
  <si>
    <t>Significance level α=</t>
  </si>
  <si>
    <t>sigma (σ)=</t>
  </si>
  <si>
    <r>
      <t>d = X-Y-D</t>
    </r>
    <r>
      <rPr>
        <vertAlign val="subscript"/>
        <sz val="11"/>
        <rFont val="Calibri"/>
        <family val="2"/>
        <scheme val="minor"/>
      </rPr>
      <t>0</t>
    </r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</si>
  <si>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Median rating same X - Y = 0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</si>
  <si>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Median ratings different</t>
    </r>
  </si>
  <si>
    <r>
      <t>D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 xml:space="preserve"> =</t>
    </r>
  </si>
  <si>
    <r>
      <t>P-value, Reject H</t>
    </r>
    <r>
      <rPr>
        <vertAlign val="subscript"/>
        <sz val="11"/>
        <rFont val="Calibri"/>
        <family val="2"/>
        <scheme val="minor"/>
      </rPr>
      <t>0</t>
    </r>
  </si>
  <si>
    <r>
      <t>Since z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&gt; z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>, Reject H</t>
    </r>
    <r>
      <rPr>
        <vertAlign val="subscript"/>
        <sz val="11"/>
        <rFont val="Calibri"/>
        <family val="2"/>
        <scheme val="minor"/>
      </rPr>
      <t>0</t>
    </r>
  </si>
  <si>
    <t>TU8.9 Wilcoxon test procedure for paired samples</t>
  </si>
  <si>
    <t>TU8.10 Mann-Whitney U test</t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</si>
  <si>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Median hours the same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</si>
  <si>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Median hours different</t>
    </r>
  </si>
  <si>
    <t>Significance Level α =</t>
  </si>
  <si>
    <r>
      <t>Lower one tail z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=</t>
    </r>
  </si>
  <si>
    <r>
      <t>Upper one-tail Z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=</t>
    </r>
  </si>
  <si>
    <r>
      <t>Since two-tail p-value &gt; 0.05, Fail to reject H</t>
    </r>
    <r>
      <rPr>
        <vertAlign val="subscript"/>
        <sz val="11"/>
        <rFont val="Calibri"/>
        <family val="2"/>
        <scheme val="minor"/>
      </rPr>
      <t>0</t>
    </r>
  </si>
  <si>
    <r>
      <t>Since z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&lt; z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>, Accept H</t>
    </r>
    <r>
      <rPr>
        <vertAlign val="subscript"/>
        <sz val="11"/>
        <rFont val="Calibri"/>
        <family val="2"/>
        <scheme val="minor"/>
      </rPr>
      <t>0</t>
    </r>
  </si>
  <si>
    <t>Step 5 - Make decision</t>
  </si>
  <si>
    <t>Step 3 - Select level of</t>
  </si>
  <si>
    <t>significance</t>
  </si>
  <si>
    <t>Step 4 - Extract relevant</t>
  </si>
  <si>
    <t>statistic</t>
  </si>
  <si>
    <t>N15=88.6876 &gt; N25=12.5916</t>
  </si>
  <si>
    <t>N22=0.0000 &lt; N12=0.05</t>
  </si>
  <si>
    <t>K15=52.0031 &gt; K25=19.6751</t>
  </si>
  <si>
    <t>K22=0.0000 &lt; K12=0.05</t>
  </si>
  <si>
    <t>M22=0.0000 &lt; M12=0.05</t>
  </si>
  <si>
    <t>M15=88.6876 &gt; M25=11.070</t>
  </si>
  <si>
    <t>Step 1 - State hypothesis</t>
  </si>
  <si>
    <r>
      <t>Upper two tail tail Z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=</t>
    </r>
  </si>
  <si>
    <r>
      <rPr>
        <sz val="11"/>
        <rFont val="Symbol"/>
        <family val="1"/>
        <charset val="2"/>
      </rPr>
      <t>m</t>
    </r>
    <r>
      <rPr>
        <sz val="11"/>
        <rFont val="Calibri"/>
        <family val="2"/>
        <scheme val="minor"/>
      </rPr>
      <t xml:space="preserve"> =</t>
    </r>
  </si>
  <si>
    <r>
      <rPr>
        <sz val="11"/>
        <rFont val="Symbol"/>
        <family val="1"/>
        <charset val="2"/>
      </rPr>
      <t>s</t>
    </r>
    <r>
      <rPr>
        <sz val="11"/>
        <rFont val="Calibri"/>
        <family val="2"/>
        <scheme val="minor"/>
      </rPr>
      <t xml:space="preserve"> =</t>
    </r>
  </si>
  <si>
    <t>Step 2 - Select test</t>
  </si>
  <si>
    <t>Step 3 - Set level of</t>
  </si>
  <si>
    <r>
      <t xml:space="preserve">Since p-value &lt; </t>
    </r>
    <r>
      <rPr>
        <sz val="11"/>
        <rFont val="Symbol"/>
        <family val="1"/>
        <charset val="2"/>
      </rPr>
      <t>a</t>
    </r>
    <r>
      <rPr>
        <sz val="11"/>
        <rFont val="Calibri"/>
        <family val="2"/>
        <scheme val="minor"/>
      </rPr>
      <t xml:space="preserve"> (0.044 &lt; 0.05), Reject 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, Accept H</t>
    </r>
    <r>
      <rPr>
        <vertAlign val="subscript"/>
        <sz val="11"/>
        <rFont val="Calibri"/>
        <family val="2"/>
        <scheme val="minor"/>
      </rPr>
      <t>1</t>
    </r>
  </si>
  <si>
    <r>
      <t xml:space="preserve">Since p-value &gt; </t>
    </r>
    <r>
      <rPr>
        <sz val="11"/>
        <rFont val="Symbol"/>
        <family val="1"/>
        <charset val="2"/>
      </rPr>
      <t>a</t>
    </r>
    <r>
      <rPr>
        <sz val="11"/>
        <rFont val="Calibri"/>
        <family val="2"/>
        <scheme val="minor"/>
      </rPr>
      <t xml:space="preserve"> (0.379 &gt; 0.05), Accept 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, Reject H</t>
    </r>
    <r>
      <rPr>
        <vertAlign val="subscript"/>
        <sz val="11"/>
        <rFont val="Calibri"/>
        <family val="2"/>
        <scheme val="minor"/>
      </rPr>
      <t>1</t>
    </r>
  </si>
  <si>
    <t>Expected frequencies</t>
  </si>
  <si>
    <t>J19=0.00004 &lt; J11=0.05</t>
  </si>
  <si>
    <t>J14=16.667 &gt; J22=3.841</t>
  </si>
  <si>
    <r>
      <t>Since one sided binomial p-value = 0.0898 &gt; 0.05 Accept H</t>
    </r>
    <r>
      <rPr>
        <vertAlign val="subscript"/>
        <sz val="11"/>
        <rFont val="Calibri"/>
        <family val="2"/>
        <scheme val="minor"/>
      </rPr>
      <t>0</t>
    </r>
  </si>
  <si>
    <r>
      <t>Since upper one tail p-value (0.000003 &lt; 0.05), Accept H</t>
    </r>
    <r>
      <rPr>
        <vertAlign val="subscript"/>
        <sz val="11"/>
        <rFont val="Calibri"/>
        <family val="2"/>
        <scheme val="minor"/>
      </rPr>
      <t>1</t>
    </r>
  </si>
  <si>
    <r>
      <t>mu (</t>
    </r>
    <r>
      <rPr>
        <sz val="11"/>
        <rFont val="Symbol"/>
        <family val="1"/>
        <charset val="2"/>
      </rPr>
      <t>m</t>
    </r>
    <r>
      <rPr>
        <sz val="11"/>
        <rFont val="Calibri"/>
        <family val="2"/>
        <scheme val="minor"/>
      </rPr>
      <t>)=</t>
    </r>
  </si>
  <si>
    <r>
      <t>z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=</t>
    </r>
  </si>
  <si>
    <t>No Charge</t>
  </si>
  <si>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test statistic =</t>
    </r>
  </si>
  <si>
    <r>
      <t xml:space="preserve">Critical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</si>
  <si>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>=</t>
    </r>
  </si>
  <si>
    <r>
      <t xml:space="preserve">Critical value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=</t>
    </r>
  </si>
  <si>
    <r>
      <t xml:space="preserve">Since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&gt;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(28.8758 &gt; 9.488), reject H</t>
    </r>
    <r>
      <rPr>
        <vertAlign val="subscript"/>
        <sz val="11"/>
        <rFont val="Calibri"/>
        <family val="2"/>
        <scheme val="minor"/>
      </rPr>
      <t>0</t>
    </r>
  </si>
  <si>
    <r>
      <t xml:space="preserve">Since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&gt;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(48.07 &gt; 12.59), reject H</t>
    </r>
    <r>
      <rPr>
        <vertAlign val="subscript"/>
        <sz val="11"/>
        <rFont val="Calibri"/>
        <family val="2"/>
        <scheme val="minor"/>
      </rPr>
      <t>0</t>
    </r>
  </si>
  <si>
    <r>
      <t xml:space="preserve">Since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&gt;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(7.35 &lt; 12.59), accept H</t>
    </r>
    <r>
      <rPr>
        <vertAlign val="subscript"/>
        <sz val="11"/>
        <rFont val="Calibri"/>
        <family val="2"/>
        <scheme val="minor"/>
      </rPr>
      <t>0</t>
    </r>
  </si>
  <si>
    <r>
      <t xml:space="preserve">Since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&gt;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(10.8 &gt; 9.49), reject H</t>
    </r>
    <r>
      <rPr>
        <vertAlign val="subscript"/>
        <sz val="11"/>
        <rFont val="Calibri"/>
        <family val="2"/>
        <scheme val="minor"/>
      </rPr>
      <t>0</t>
    </r>
  </si>
  <si>
    <r>
      <t xml:space="preserve">Chi squared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=</t>
    </r>
  </si>
  <si>
    <r>
      <t xml:space="preserve">Since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&gt;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>, Reject 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, Accept H</t>
    </r>
    <r>
      <rPr>
        <vertAlign val="subscript"/>
        <sz val="11"/>
        <rFont val="Calibri"/>
        <family val="2"/>
        <scheme val="minor"/>
      </rPr>
      <t>1</t>
    </r>
  </si>
  <si>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=</t>
    </r>
  </si>
  <si>
    <r>
      <t xml:space="preserve">Since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&lt;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(0.77 &lt; 3.84), Accept 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, Reject H</t>
    </r>
    <r>
      <rPr>
        <vertAlign val="subscript"/>
        <sz val="11"/>
        <rFont val="Calibri"/>
        <family val="2"/>
        <scheme val="minor"/>
      </rPr>
      <t>1</t>
    </r>
  </si>
  <si>
    <r>
      <t xml:space="preserve">Since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&gt;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(4.04 &gt; 3.84), Reject 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, Accept H</t>
    </r>
    <r>
      <rPr>
        <vertAlign val="subscript"/>
        <sz val="11"/>
        <rFont val="Calibri"/>
        <family val="2"/>
        <scheme val="minor"/>
      </rPr>
      <t>1</t>
    </r>
  </si>
  <si>
    <t>significance =</t>
  </si>
  <si>
    <r>
      <t xml:space="preserve">Calculate Z = (X - </t>
    </r>
    <r>
      <rPr>
        <sz val="11"/>
        <rFont val="Symbol"/>
        <family val="1"/>
        <charset val="2"/>
      </rPr>
      <t>m</t>
    </r>
    <r>
      <rPr>
        <sz val="11"/>
        <rFont val="Calibri"/>
        <family val="2"/>
        <scheme val="minor"/>
      </rPr>
      <t>)/</t>
    </r>
    <r>
      <rPr>
        <sz val="11"/>
        <rFont val="Symbol"/>
        <family val="1"/>
        <charset val="2"/>
      </rPr>
      <t>s</t>
    </r>
    <r>
      <rPr>
        <sz val="11"/>
        <rFont val="Calibri"/>
        <family val="2"/>
        <scheme val="minor"/>
      </rPr>
      <t xml:space="preserve"> =</t>
    </r>
  </si>
  <si>
    <r>
      <t xml:space="preserve">Since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&lt;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(4.9951 &gt; 9.4877), accept H</t>
    </r>
    <r>
      <rPr>
        <vertAlign val="subscript"/>
        <sz val="11"/>
        <rFont val="Calibri"/>
        <family val="2"/>
        <scheme val="minor"/>
      </rPr>
      <t>0</t>
    </r>
  </si>
  <si>
    <r>
      <t xml:space="preserve">Since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&lt;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(2.7740 &gt; 9.4877), accept H</t>
    </r>
    <r>
      <rPr>
        <vertAlign val="subscript"/>
        <sz val="11"/>
        <rFont val="Calibri"/>
        <family val="2"/>
        <scheme val="minor"/>
      </rPr>
      <t>0</t>
    </r>
  </si>
  <si>
    <r>
      <t xml:space="preserve">Chi square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=</t>
    </r>
  </si>
  <si>
    <r>
      <t xml:space="preserve">Since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&gt; </t>
    </r>
    <r>
      <rPr>
        <sz val="11"/>
        <rFont val="Symbol"/>
        <family val="1"/>
        <charset val="2"/>
      </rPr>
      <t>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>, reject H</t>
    </r>
    <r>
      <rPr>
        <vertAlign val="subscript"/>
        <sz val="11"/>
        <rFont val="Calibri"/>
        <family val="2"/>
        <scheme val="minor"/>
      </rPr>
      <t>0</t>
    </r>
  </si>
  <si>
    <t>Financial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</si>
</sst>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"/>
    <numFmt numFmtId="165" formatCode="0.00000"/>
    <numFmt numFmtId="166" formatCode="0.000000"/>
    <numFmt numFmtId="167" formatCode="0.0"/>
    <numFmt numFmtId="168" formatCode="0.0000000"/>
    <numFmt numFmtId="169" formatCode="0.000"/>
    <numFmt numFmtId="170" formatCode="0.000000000000000"/>
    <numFmt numFmtId="171" formatCode="0.0000000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</font>
    <font>
      <vertAlign val="superscript"/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Symbol"/>
      <family val="1"/>
      <charset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1"/>
      <charset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1" fillId="0" borderId="0"/>
  </cellStyleXfs>
  <cellXfs count="313">
    <xf numFmtId="0" fontId="0" fillId="0" borderId="0" xfId="0"/>
    <xf numFmtId="0" fontId="0" fillId="0" borderId="0" xfId="0" quotePrefix="1"/>
    <xf numFmtId="0" fontId="1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Fill="1"/>
    <xf numFmtId="0" fontId="10" fillId="0" borderId="0" xfId="0" applyFont="1"/>
    <xf numFmtId="170" fontId="0" fillId="0" borderId="0" xfId="0" applyNumberFormat="1"/>
    <xf numFmtId="0" fontId="6" fillId="0" borderId="0" xfId="0" applyFont="1" applyFill="1" applyAlignment="1">
      <alignment horizontal="right"/>
    </xf>
    <xf numFmtId="0" fontId="13" fillId="0" borderId="0" xfId="1" applyFont="1"/>
    <xf numFmtId="0" fontId="14" fillId="0" borderId="0" xfId="1" applyFont="1"/>
    <xf numFmtId="0" fontId="14" fillId="2" borderId="1" xfId="1" applyFont="1" applyFill="1" applyBorder="1" applyAlignment="1">
      <alignment horizontal="right"/>
    </xf>
    <xf numFmtId="0" fontId="14" fillId="0" borderId="1" xfId="1" applyFont="1" applyBorder="1"/>
    <xf numFmtId="0" fontId="14" fillId="0" borderId="0" xfId="1" applyFont="1" applyBorder="1"/>
    <xf numFmtId="0" fontId="14" fillId="0" borderId="0" xfId="1" quotePrefix="1" applyFont="1"/>
    <xf numFmtId="0" fontId="14" fillId="0" borderId="0" xfId="1" quotePrefix="1" applyFont="1" applyBorder="1"/>
    <xf numFmtId="0" fontId="14" fillId="0" borderId="1" xfId="1" applyFont="1" applyFill="1" applyBorder="1" applyAlignment="1">
      <alignment horizontal="center"/>
    </xf>
    <xf numFmtId="0" fontId="14" fillId="0" borderId="0" xfId="1" applyFont="1" applyAlignment="1">
      <alignment horizontal="left"/>
    </xf>
    <xf numFmtId="0" fontId="14" fillId="2" borderId="1" xfId="1" applyFont="1" applyFill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2" borderId="1" xfId="1" applyFont="1" applyFill="1" applyBorder="1"/>
    <xf numFmtId="0" fontId="14" fillId="0" borderId="1" xfId="1" applyFont="1" applyBorder="1" applyAlignment="1">
      <alignment horizontal="center"/>
    </xf>
    <xf numFmtId="0" fontId="14" fillId="0" borderId="0" xfId="1" quotePrefix="1" applyFont="1" applyAlignment="1">
      <alignment horizontal="left"/>
    </xf>
    <xf numFmtId="0" fontId="14" fillId="0" borderId="0" xfId="1" applyFont="1" applyAlignment="1">
      <alignment horizontal="center"/>
    </xf>
    <xf numFmtId="0" fontId="14" fillId="0" borderId="1" xfId="1" applyFont="1" applyBorder="1" applyAlignment="1">
      <alignment horizontal="right"/>
    </xf>
    <xf numFmtId="164" fontId="14" fillId="0" borderId="1" xfId="1" applyNumberFormat="1" applyFont="1" applyBorder="1" applyAlignment="1">
      <alignment horizontal="center"/>
    </xf>
    <xf numFmtId="0" fontId="14" fillId="0" borderId="0" xfId="1" applyFont="1" applyAlignment="1">
      <alignment horizontal="right"/>
    </xf>
    <xf numFmtId="164" fontId="14" fillId="0" borderId="0" xfId="1" applyNumberFormat="1" applyFont="1" applyAlignment="1">
      <alignment horizontal="center"/>
    </xf>
    <xf numFmtId="164" fontId="14" fillId="0" borderId="0" xfId="1" quotePrefix="1" applyNumberFormat="1" applyFont="1" applyAlignment="1">
      <alignment horizontal="left"/>
    </xf>
    <xf numFmtId="165" fontId="14" fillId="0" borderId="1" xfId="1" applyNumberFormat="1" applyFont="1" applyBorder="1" applyAlignment="1">
      <alignment horizontal="center"/>
    </xf>
    <xf numFmtId="165" fontId="14" fillId="0" borderId="1" xfId="1" applyNumberFormat="1" applyFont="1" applyFill="1" applyBorder="1" applyAlignment="1">
      <alignment horizontal="center"/>
    </xf>
    <xf numFmtId="164" fontId="14" fillId="0" borderId="1" xfId="1" applyNumberFormat="1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3" fillId="3" borderId="0" xfId="0" applyFont="1" applyFill="1"/>
    <xf numFmtId="0" fontId="14" fillId="3" borderId="0" xfId="0" applyFont="1" applyFill="1"/>
    <xf numFmtId="0" fontId="14" fillId="0" borderId="0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top" wrapText="1"/>
    </xf>
    <xf numFmtId="0" fontId="14" fillId="0" borderId="0" xfId="0" quotePrefix="1" applyFont="1"/>
    <xf numFmtId="164" fontId="14" fillId="0" borderId="0" xfId="0" applyNumberFormat="1" applyFont="1"/>
    <xf numFmtId="0" fontId="14" fillId="0" borderId="1" xfId="0" applyFont="1" applyFill="1" applyBorder="1" applyAlignment="1">
      <alignment horizontal="right" vertical="top" wrapText="1"/>
    </xf>
    <xf numFmtId="0" fontId="13" fillId="4" borderId="0" xfId="0" applyFont="1" applyFill="1"/>
    <xf numFmtId="0" fontId="14" fillId="4" borderId="0" xfId="0" applyFont="1" applyFill="1"/>
    <xf numFmtId="0" fontId="14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3" fillId="5" borderId="0" xfId="0" applyFont="1" applyFill="1"/>
    <xf numFmtId="0" fontId="14" fillId="5" borderId="0" xfId="0" applyFont="1" applyFill="1"/>
    <xf numFmtId="169" fontId="14" fillId="0" borderId="1" xfId="0" applyNumberFormat="1" applyFont="1" applyBorder="1" applyAlignment="1">
      <alignment horizontal="center"/>
    </xf>
    <xf numFmtId="0" fontId="14" fillId="5" borderId="1" xfId="0" applyFont="1" applyFill="1" applyBorder="1" applyAlignment="1">
      <alignment horizontal="right"/>
    </xf>
    <xf numFmtId="0" fontId="14" fillId="5" borderId="1" xfId="0" applyFont="1" applyFill="1" applyBorder="1"/>
    <xf numFmtId="0" fontId="13" fillId="6" borderId="0" xfId="0" applyFont="1" applyFill="1"/>
    <xf numFmtId="0" fontId="14" fillId="6" borderId="0" xfId="0" applyFont="1" applyFill="1"/>
    <xf numFmtId="0" fontId="14" fillId="6" borderId="0" xfId="0" quotePrefix="1" applyFont="1" applyFill="1"/>
    <xf numFmtId="0" fontId="14" fillId="6" borderId="1" xfId="0" applyFont="1" applyFill="1" applyBorder="1" applyAlignment="1">
      <alignment horizontal="right"/>
    </xf>
    <xf numFmtId="0" fontId="14" fillId="6" borderId="1" xfId="0" applyFont="1" applyFill="1" applyBorder="1"/>
    <xf numFmtId="0" fontId="10" fillId="6" borderId="0" xfId="0" applyFont="1" applyFill="1"/>
    <xf numFmtId="164" fontId="14" fillId="6" borderId="1" xfId="0" applyNumberFormat="1" applyFont="1" applyFill="1" applyBorder="1"/>
    <xf numFmtId="169" fontId="14" fillId="6" borderId="1" xfId="0" applyNumberFormat="1" applyFont="1" applyFill="1" applyBorder="1"/>
    <xf numFmtId="164" fontId="14" fillId="6" borderId="0" xfId="0" quotePrefix="1" applyNumberFormat="1" applyFont="1" applyFill="1"/>
    <xf numFmtId="164" fontId="14" fillId="0" borderId="0" xfId="0" applyNumberFormat="1" applyFont="1" applyAlignment="1">
      <alignment horizontal="center"/>
    </xf>
    <xf numFmtId="0" fontId="13" fillId="7" borderId="0" xfId="0" applyFont="1" applyFill="1" applyBorder="1" applyAlignment="1">
      <alignment horizontal="left"/>
    </xf>
    <xf numFmtId="0" fontId="14" fillId="7" borderId="0" xfId="0" applyFont="1" applyFill="1"/>
    <xf numFmtId="0" fontId="17" fillId="0" borderId="0" xfId="0" applyFont="1"/>
    <xf numFmtId="0" fontId="13" fillId="0" borderId="0" xfId="2" applyFont="1"/>
    <xf numFmtId="0" fontId="14" fillId="0" borderId="0" xfId="2" applyFont="1"/>
    <xf numFmtId="0" fontId="14" fillId="0" borderId="1" xfId="2" applyFont="1" applyBorder="1" applyAlignment="1">
      <alignment horizontal="right"/>
    </xf>
    <xf numFmtId="0" fontId="14" fillId="0" borderId="1" xfId="2" applyFont="1" applyBorder="1"/>
    <xf numFmtId="0" fontId="14" fillId="0" borderId="0" xfId="2" quotePrefix="1" applyFont="1"/>
    <xf numFmtId="0" fontId="14" fillId="0" borderId="1" xfId="2" applyFont="1" applyFill="1" applyBorder="1" applyAlignment="1">
      <alignment horizontal="center"/>
    </xf>
    <xf numFmtId="0" fontId="14" fillId="0" borderId="0" xfId="2" applyFont="1" applyBorder="1" applyAlignment="1">
      <alignment horizontal="left" vertical="top" wrapText="1"/>
    </xf>
    <xf numFmtId="0" fontId="14" fillId="2" borderId="1" xfId="2" applyFont="1" applyFill="1" applyBorder="1" applyAlignment="1">
      <alignment horizontal="center" vertical="top" wrapText="1"/>
    </xf>
    <xf numFmtId="0" fontId="14" fillId="0" borderId="0" xfId="2" applyFont="1" applyAlignment="1">
      <alignment horizontal="center"/>
    </xf>
    <xf numFmtId="0" fontId="14" fillId="2" borderId="1" xfId="2" applyFont="1" applyFill="1" applyBorder="1" applyAlignment="1">
      <alignment horizontal="left" vertical="top" wrapText="1"/>
    </xf>
    <xf numFmtId="0" fontId="14" fillId="0" borderId="1" xfId="2" applyFont="1" applyBorder="1" applyAlignment="1">
      <alignment horizontal="center" vertical="top" wrapText="1"/>
    </xf>
    <xf numFmtId="0" fontId="14" fillId="0" borderId="0" xfId="2" applyFont="1" applyFill="1" applyBorder="1" applyAlignment="1">
      <alignment horizontal="right" vertical="top" wrapText="1"/>
    </xf>
    <xf numFmtId="0" fontId="14" fillId="2" borderId="1" xfId="2" applyFont="1" applyFill="1" applyBorder="1" applyAlignment="1">
      <alignment horizontal="center"/>
    </xf>
    <xf numFmtId="0" fontId="14" fillId="0" borderId="1" xfId="2" applyFont="1" applyBorder="1" applyAlignment="1">
      <alignment horizontal="center"/>
    </xf>
    <xf numFmtId="164" fontId="14" fillId="0" borderId="1" xfId="2" applyNumberFormat="1" applyFont="1" applyFill="1" applyBorder="1" applyAlignment="1">
      <alignment horizontal="center"/>
    </xf>
    <xf numFmtId="164" fontId="14" fillId="0" borderId="1" xfId="2" applyNumberFormat="1" applyFont="1" applyBorder="1" applyAlignment="1">
      <alignment horizontal="center"/>
    </xf>
    <xf numFmtId="164" fontId="14" fillId="2" borderId="1" xfId="2" applyNumberFormat="1" applyFont="1" applyFill="1" applyBorder="1" applyAlignment="1">
      <alignment horizontal="center"/>
    </xf>
    <xf numFmtId="167" fontId="14" fillId="0" borderId="1" xfId="1" applyNumberFormat="1" applyFont="1" applyBorder="1" applyAlignment="1">
      <alignment horizontal="center"/>
    </xf>
    <xf numFmtId="0" fontId="14" fillId="0" borderId="1" xfId="1" quotePrefix="1" applyFont="1" applyBorder="1" applyAlignment="1">
      <alignment horizontal="center"/>
    </xf>
    <xf numFmtId="167" fontId="14" fillId="0" borderId="0" xfId="1" quotePrefix="1" applyNumberFormat="1" applyFont="1"/>
    <xf numFmtId="0" fontId="14" fillId="0" borderId="0" xfId="1" applyFont="1" applyFill="1" applyBorder="1"/>
    <xf numFmtId="0" fontId="14" fillId="0" borderId="0" xfId="1" quotePrefix="1" applyFont="1" applyFill="1" applyBorder="1"/>
    <xf numFmtId="164" fontId="14" fillId="0" borderId="0" xfId="1" applyNumberFormat="1" applyFont="1" applyFill="1" applyBorder="1"/>
    <xf numFmtId="0" fontId="14" fillId="0" borderId="1" xfId="1" applyFont="1" applyFill="1" applyBorder="1"/>
    <xf numFmtId="167" fontId="14" fillId="0" borderId="0" xfId="1" applyNumberFormat="1" applyFont="1" applyAlignment="1">
      <alignment horizontal="center"/>
    </xf>
    <xf numFmtId="167" fontId="14" fillId="0" borderId="0" xfId="1" quotePrefix="1" applyNumberFormat="1" applyFont="1" applyAlignment="1">
      <alignment horizontal="left"/>
    </xf>
    <xf numFmtId="0" fontId="14" fillId="0" borderId="0" xfId="1" quotePrefix="1" applyFont="1" applyAlignment="1">
      <alignment horizontal="center"/>
    </xf>
    <xf numFmtId="164" fontId="14" fillId="0" borderId="0" xfId="1" applyNumberFormat="1" applyFont="1"/>
    <xf numFmtId="167" fontId="14" fillId="0" borderId="1" xfId="2" applyNumberFormat="1" applyFont="1" applyBorder="1" applyAlignment="1">
      <alignment horizontal="center"/>
    </xf>
    <xf numFmtId="0" fontId="14" fillId="0" borderId="0" xfId="2" applyFont="1" applyAlignment="1">
      <alignment horizontal="right"/>
    </xf>
    <xf numFmtId="167" fontId="14" fillId="0" borderId="0" xfId="2" applyNumberFormat="1" applyFont="1" applyAlignment="1">
      <alignment horizontal="center"/>
    </xf>
    <xf numFmtId="167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left"/>
    </xf>
    <xf numFmtId="0" fontId="14" fillId="0" borderId="0" xfId="2" applyFont="1" applyAlignment="1">
      <alignment horizontal="left"/>
    </xf>
    <xf numFmtId="169" fontId="14" fillId="0" borderId="0" xfId="2" applyNumberFormat="1" applyFont="1"/>
    <xf numFmtId="0" fontId="14" fillId="4" borderId="1" xfId="2" applyFont="1" applyFill="1" applyBorder="1" applyAlignment="1">
      <alignment horizontal="center"/>
    </xf>
    <xf numFmtId="1" fontId="14" fillId="0" borderId="1" xfId="2" applyNumberFormat="1" applyFont="1" applyBorder="1" applyAlignment="1">
      <alignment horizontal="center"/>
    </xf>
    <xf numFmtId="1" fontId="14" fillId="0" borderId="0" xfId="2" quotePrefix="1" applyNumberFormat="1" applyFont="1" applyAlignment="1">
      <alignment horizontal="left"/>
    </xf>
    <xf numFmtId="0" fontId="14" fillId="0" borderId="0" xfId="2" applyFont="1" applyAlignment="1">
      <alignment horizontal="center" wrapText="1"/>
    </xf>
    <xf numFmtId="164" fontId="14" fillId="0" borderId="0" xfId="2" applyNumberFormat="1" applyFont="1" applyAlignment="1">
      <alignment horizontal="right"/>
    </xf>
    <xf numFmtId="0" fontId="14" fillId="0" borderId="1" xfId="2" applyFont="1" applyBorder="1" applyAlignment="1">
      <alignment horizontal="center" wrapText="1"/>
    </xf>
    <xf numFmtId="2" fontId="14" fillId="0" borderId="1" xfId="2" applyNumberFormat="1" applyFont="1" applyBorder="1" applyAlignment="1">
      <alignment horizontal="center"/>
    </xf>
    <xf numFmtId="0" fontId="14" fillId="2" borderId="2" xfId="1" applyFont="1" applyFill="1" applyBorder="1" applyAlignment="1">
      <alignment horizontal="center"/>
    </xf>
    <xf numFmtId="0" fontId="14" fillId="2" borderId="1" xfId="1" applyFont="1" applyFill="1" applyBorder="1" applyAlignment="1"/>
    <xf numFmtId="0" fontId="14" fillId="0" borderId="0" xfId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0" fontId="14" fillId="0" borderId="0" xfId="2" applyFont="1" applyBorder="1" applyAlignment="1">
      <alignment horizontal="center"/>
    </xf>
    <xf numFmtId="0" fontId="14" fillId="0" borderId="0" xfId="2" quotePrefix="1" applyFont="1" applyBorder="1"/>
    <xf numFmtId="0" fontId="14" fillId="0" borderId="0" xfId="2" applyFont="1" applyBorder="1"/>
    <xf numFmtId="0" fontId="14" fillId="8" borderId="1" xfId="0" applyFont="1" applyFill="1" applyBorder="1" applyAlignment="1">
      <alignment horizontal="center" wrapText="1"/>
    </xf>
    <xf numFmtId="0" fontId="14" fillId="8" borderId="1" xfId="0" applyFont="1" applyFill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4" fillId="0" borderId="0" xfId="0" quotePrefix="1" applyNumberFormat="1" applyFont="1" applyAlignment="1">
      <alignment horizontal="center"/>
    </xf>
    <xf numFmtId="0" fontId="14" fillId="5" borderId="0" xfId="0" applyFont="1" applyFill="1" applyAlignment="1">
      <alignment horizontal="right"/>
    </xf>
    <xf numFmtId="0" fontId="14" fillId="6" borderId="0" xfId="0" applyFont="1" applyFill="1" applyAlignment="1">
      <alignment horizontal="right"/>
    </xf>
    <xf numFmtId="164" fontId="14" fillId="6" borderId="0" xfId="0" applyNumberFormat="1" applyFont="1" applyFill="1"/>
    <xf numFmtId="0" fontId="10" fillId="6" borderId="0" xfId="0" applyFont="1" applyFill="1" applyAlignment="1">
      <alignment horizontal="left"/>
    </xf>
    <xf numFmtId="164" fontId="14" fillId="6" borderId="0" xfId="0" applyNumberFormat="1" applyFont="1" applyFill="1" applyAlignment="1">
      <alignment horizontal="right"/>
    </xf>
    <xf numFmtId="0" fontId="14" fillId="7" borderId="0" xfId="0" applyFont="1" applyFill="1" applyBorder="1" applyAlignment="1">
      <alignment horizontal="left"/>
    </xf>
    <xf numFmtId="0" fontId="10" fillId="7" borderId="0" xfId="0" applyFont="1" applyFill="1" applyAlignment="1">
      <alignment horizontal="left"/>
    </xf>
    <xf numFmtId="0" fontId="14" fillId="0" borderId="0" xfId="0" applyFont="1" applyBorder="1"/>
    <xf numFmtId="164" fontId="14" fillId="0" borderId="0" xfId="0" quotePrefix="1" applyNumberFormat="1" applyFont="1" applyFill="1" applyBorder="1" applyAlignment="1">
      <alignment horizontal="center"/>
    </xf>
    <xf numFmtId="164" fontId="14" fillId="0" borderId="0" xfId="0" applyNumberFormat="1" applyFont="1" applyFill="1" applyBorder="1"/>
    <xf numFmtId="0" fontId="14" fillId="0" borderId="0" xfId="0" applyFont="1" applyFill="1" applyBorder="1"/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quotePrefix="1" applyFont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6" borderId="1" xfId="0" applyFont="1" applyFill="1" applyBorder="1" applyAlignment="1">
      <alignment horizontal="center"/>
    </xf>
    <xf numFmtId="167" fontId="14" fillId="0" borderId="1" xfId="0" applyNumberFormat="1" applyFont="1" applyBorder="1" applyAlignment="1">
      <alignment horizontal="center"/>
    </xf>
    <xf numFmtId="167" fontId="14" fillId="0" borderId="0" xfId="0" quotePrefix="1" applyNumberFormat="1" applyFont="1" applyAlignment="1">
      <alignment horizontal="left"/>
    </xf>
    <xf numFmtId="167" fontId="14" fillId="0" borderId="0" xfId="0" applyNumberFormat="1" applyFont="1" applyAlignment="1">
      <alignment horizontal="left"/>
    </xf>
    <xf numFmtId="0" fontId="14" fillId="3" borderId="1" xfId="0" applyFont="1" applyFill="1" applyBorder="1" applyAlignment="1">
      <alignment horizontal="right"/>
    </xf>
    <xf numFmtId="0" fontId="14" fillId="3" borderId="1" xfId="0" applyFont="1" applyFill="1" applyBorder="1"/>
    <xf numFmtId="167" fontId="14" fillId="3" borderId="1" xfId="0" applyNumberFormat="1" applyFont="1" applyFill="1" applyBorder="1"/>
    <xf numFmtId="167" fontId="14" fillId="5" borderId="0" xfId="0" applyNumberFormat="1" applyFont="1" applyFill="1" applyAlignment="1">
      <alignment horizontal="center"/>
    </xf>
    <xf numFmtId="167" fontId="14" fillId="0" borderId="0" xfId="0" applyNumberFormat="1" applyFont="1" applyBorder="1" applyAlignment="1">
      <alignment horizontal="left"/>
    </xf>
    <xf numFmtId="0" fontId="14" fillId="0" borderId="0" xfId="0" quotePrefix="1" applyFont="1" applyBorder="1" applyAlignment="1">
      <alignment horizontal="left"/>
    </xf>
    <xf numFmtId="167" fontId="14" fillId="0" borderId="0" xfId="0" applyNumberFormat="1" applyFont="1" applyAlignment="1">
      <alignment horizontal="center"/>
    </xf>
    <xf numFmtId="1" fontId="14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7" fontId="14" fillId="6" borderId="0" xfId="0" applyNumberFormat="1" applyFont="1" applyFill="1" applyAlignment="1">
      <alignment horizontal="center"/>
    </xf>
    <xf numFmtId="167" fontId="14" fillId="0" borderId="0" xfId="0" applyNumberFormat="1" applyFont="1" applyBorder="1" applyAlignment="1">
      <alignment horizontal="center"/>
    </xf>
    <xf numFmtId="167" fontId="14" fillId="0" borderId="0" xfId="0" quotePrefix="1" applyNumberFormat="1" applyFont="1" applyBorder="1" applyAlignment="1">
      <alignment horizontal="left"/>
    </xf>
    <xf numFmtId="167" fontId="14" fillId="0" borderId="0" xfId="0" applyNumberFormat="1" applyFont="1"/>
    <xf numFmtId="0" fontId="10" fillId="0" borderId="0" xfId="0" applyFont="1" applyAlignment="1">
      <alignment horizontal="left"/>
    </xf>
    <xf numFmtId="0" fontId="14" fillId="0" borderId="1" xfId="0" applyFont="1" applyBorder="1" applyAlignment="1">
      <alignment horizontal="center" wrapText="1"/>
    </xf>
    <xf numFmtId="2" fontId="14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center"/>
    </xf>
    <xf numFmtId="2" fontId="14" fillId="3" borderId="0" xfId="0" applyNumberFormat="1" applyFont="1" applyFill="1" applyAlignment="1">
      <alignment horizontal="center"/>
    </xf>
    <xf numFmtId="2" fontId="14" fillId="5" borderId="0" xfId="0" applyNumberFormat="1" applyFont="1" applyFill="1" applyAlignment="1">
      <alignment horizontal="left"/>
    </xf>
    <xf numFmtId="2" fontId="14" fillId="5" borderId="1" xfId="0" applyNumberFormat="1" applyFont="1" applyFill="1" applyBorder="1" applyAlignment="1">
      <alignment horizontal="right"/>
    </xf>
    <xf numFmtId="0" fontId="14" fillId="6" borderId="1" xfId="0" quotePrefix="1" applyFont="1" applyFill="1" applyBorder="1"/>
    <xf numFmtId="0" fontId="14" fillId="6" borderId="1" xfId="0" quotePrefix="1" applyFont="1" applyFill="1" applyBorder="1" applyAlignment="1">
      <alignment horizontal="right"/>
    </xf>
    <xf numFmtId="164" fontId="14" fillId="6" borderId="1" xfId="0" quotePrefix="1" applyNumberFormat="1" applyFont="1" applyFill="1" applyBorder="1"/>
    <xf numFmtId="0" fontId="18" fillId="6" borderId="0" xfId="0" applyFont="1" applyFill="1"/>
    <xf numFmtId="169" fontId="14" fillId="6" borderId="1" xfId="0" quotePrefix="1" applyNumberFormat="1" applyFont="1" applyFill="1" applyBorder="1" applyAlignment="1">
      <alignment horizontal="right"/>
    </xf>
    <xf numFmtId="0" fontId="18" fillId="0" borderId="0" xfId="0" applyFont="1"/>
    <xf numFmtId="164" fontId="14" fillId="7" borderId="0" xfId="0" applyNumberFormat="1" applyFont="1" applyFill="1" applyAlignment="1">
      <alignment horizontal="left"/>
    </xf>
    <xf numFmtId="0" fontId="14" fillId="7" borderId="0" xfId="0" quotePrefix="1" applyFont="1" applyFill="1"/>
    <xf numFmtId="164" fontId="14" fillId="7" borderId="0" xfId="0" applyNumberFormat="1" applyFont="1" applyFill="1"/>
    <xf numFmtId="164" fontId="14" fillId="0" borderId="0" xfId="0" applyNumberFormat="1" applyFont="1" applyAlignment="1">
      <alignment horizontal="right"/>
    </xf>
    <xf numFmtId="167" fontId="14" fillId="3" borderId="0" xfId="0" quotePrefix="1" applyNumberFormat="1" applyFont="1" applyFill="1" applyAlignment="1">
      <alignment horizontal="left"/>
    </xf>
    <xf numFmtId="0" fontId="14" fillId="3" borderId="0" xfId="1" applyFont="1" applyFill="1"/>
    <xf numFmtId="0" fontId="14" fillId="4" borderId="0" xfId="1" applyFont="1" applyFill="1"/>
    <xf numFmtId="0" fontId="14" fillId="4" borderId="0" xfId="1" applyFont="1" applyFill="1" applyAlignment="1">
      <alignment horizontal="right"/>
    </xf>
    <xf numFmtId="0" fontId="14" fillId="9" borderId="0" xfId="1" applyFont="1" applyFill="1"/>
    <xf numFmtId="0" fontId="14" fillId="9" borderId="1" xfId="1" applyFont="1" applyFill="1" applyBorder="1" applyAlignment="1">
      <alignment horizontal="right"/>
    </xf>
    <xf numFmtId="0" fontId="14" fillId="9" borderId="1" xfId="1" applyFont="1" applyFill="1" applyBorder="1"/>
    <xf numFmtId="167" fontId="14" fillId="9" borderId="0" xfId="1" quotePrefix="1" applyNumberFormat="1" applyFont="1" applyFill="1"/>
    <xf numFmtId="0" fontId="14" fillId="6" borderId="0" xfId="1" applyFont="1" applyFill="1"/>
    <xf numFmtId="0" fontId="14" fillId="6" borderId="1" xfId="1" applyFont="1" applyFill="1" applyBorder="1" applyAlignment="1">
      <alignment horizontal="right"/>
    </xf>
    <xf numFmtId="164" fontId="14" fillId="6" borderId="1" xfId="1" applyNumberFormat="1" applyFont="1" applyFill="1" applyBorder="1"/>
    <xf numFmtId="167" fontId="14" fillId="6" borderId="0" xfId="1" quotePrefix="1" applyNumberFormat="1" applyFont="1" applyFill="1"/>
    <xf numFmtId="0" fontId="14" fillId="6" borderId="1" xfId="1" applyFont="1" applyFill="1" applyBorder="1"/>
    <xf numFmtId="0" fontId="14" fillId="6" borderId="0" xfId="1" applyFont="1" applyFill="1" applyAlignment="1">
      <alignment horizontal="right"/>
    </xf>
    <xf numFmtId="0" fontId="14" fillId="6" borderId="0" xfId="1" quotePrefix="1" applyFont="1" applyFill="1"/>
    <xf numFmtId="171" fontId="14" fillId="6" borderId="1" xfId="1" applyNumberFormat="1" applyFont="1" applyFill="1" applyBorder="1"/>
    <xf numFmtId="171" fontId="14" fillId="6" borderId="1" xfId="1" quotePrefix="1" applyNumberFormat="1" applyFont="1" applyFill="1" applyBorder="1"/>
    <xf numFmtId="0" fontId="14" fillId="7" borderId="0" xfId="1" applyFont="1" applyFill="1"/>
    <xf numFmtId="0" fontId="14" fillId="7" borderId="0" xfId="1" applyFont="1" applyFill="1" applyAlignment="1">
      <alignment horizontal="right"/>
    </xf>
    <xf numFmtId="164" fontId="14" fillId="7" borderId="0" xfId="1" applyNumberFormat="1" applyFont="1" applyFill="1"/>
    <xf numFmtId="0" fontId="14" fillId="7" borderId="0" xfId="1" quotePrefix="1" applyFont="1" applyFill="1"/>
    <xf numFmtId="164" fontId="14" fillId="0" borderId="0" xfId="0" applyNumberFormat="1" applyFont="1" applyFill="1" applyBorder="1" applyAlignment="1">
      <alignment horizontal="center"/>
    </xf>
    <xf numFmtId="0" fontId="14" fillId="0" borderId="0" xfId="0" quotePrefix="1" applyFont="1" applyAlignment="1">
      <alignment horizontal="right"/>
    </xf>
    <xf numFmtId="164" fontId="14" fillId="0" borderId="0" xfId="0" quotePrefix="1" applyNumberFormat="1" applyFont="1" applyAlignment="1">
      <alignment horizontal="left"/>
    </xf>
    <xf numFmtId="0" fontId="14" fillId="0" borderId="0" xfId="0" applyFont="1" applyFill="1"/>
    <xf numFmtId="0" fontId="14" fillId="0" borderId="1" xfId="2" applyFont="1" applyFill="1" applyBorder="1"/>
    <xf numFmtId="164" fontId="14" fillId="6" borderId="0" xfId="1" quotePrefix="1" applyNumberFormat="1" applyFont="1" applyFill="1"/>
    <xf numFmtId="0" fontId="14" fillId="6" borderId="1" xfId="1" quotePrefix="1" applyFont="1" applyFill="1" applyBorder="1"/>
    <xf numFmtId="0" fontId="14" fillId="7" borderId="0" xfId="1" applyFont="1" applyFill="1" applyBorder="1" applyAlignment="1">
      <alignment horizontal="left"/>
    </xf>
    <xf numFmtId="164" fontId="14" fillId="0" borderId="0" xfId="1" applyNumberFormat="1" applyFont="1" applyAlignment="1">
      <alignment horizontal="left"/>
    </xf>
    <xf numFmtId="0" fontId="14" fillId="3" borderId="0" xfId="2" applyFont="1" applyFill="1" applyAlignment="1"/>
    <xf numFmtId="2" fontId="14" fillId="3" borderId="0" xfId="2" applyNumberFormat="1" applyFont="1" applyFill="1" applyAlignment="1">
      <alignment horizontal="left"/>
    </xf>
    <xf numFmtId="0" fontId="14" fillId="3" borderId="0" xfId="2" applyFont="1" applyFill="1"/>
    <xf numFmtId="0" fontId="14" fillId="3" borderId="0" xfId="2" applyFont="1" applyFill="1" applyAlignment="1">
      <alignment horizontal="center"/>
    </xf>
    <xf numFmtId="2" fontId="14" fillId="3" borderId="0" xfId="2" applyNumberFormat="1" applyFont="1" applyFill="1" applyAlignment="1">
      <alignment horizontal="center"/>
    </xf>
    <xf numFmtId="0" fontId="14" fillId="4" borderId="0" xfId="2" applyFont="1" applyFill="1"/>
    <xf numFmtId="2" fontId="14" fillId="9" borderId="0" xfId="2" applyNumberFormat="1" applyFont="1" applyFill="1" applyAlignment="1">
      <alignment horizontal="left"/>
    </xf>
    <xf numFmtId="0" fontId="14" fillId="9" borderId="0" xfId="2" applyFont="1" applyFill="1"/>
    <xf numFmtId="2" fontId="14" fillId="9" borderId="1" xfId="2" applyNumberFormat="1" applyFont="1" applyFill="1" applyBorder="1" applyAlignment="1">
      <alignment horizontal="right"/>
    </xf>
    <xf numFmtId="0" fontId="14" fillId="9" borderId="1" xfId="2" applyFont="1" applyFill="1" applyBorder="1"/>
    <xf numFmtId="0" fontId="14" fillId="6" borderId="0" xfId="2" applyFont="1" applyFill="1"/>
    <xf numFmtId="0" fontId="14" fillId="6" borderId="1" xfId="2" applyFont="1" applyFill="1" applyBorder="1" applyAlignment="1">
      <alignment horizontal="right"/>
    </xf>
    <xf numFmtId="2" fontId="14" fillId="6" borderId="1" xfId="2" applyNumberFormat="1" applyFont="1" applyFill="1" applyBorder="1"/>
    <xf numFmtId="0" fontId="14" fillId="6" borderId="0" xfId="2" quotePrefix="1" applyFont="1" applyFill="1"/>
    <xf numFmtId="0" fontId="14" fillId="6" borderId="1" xfId="2" applyFont="1" applyFill="1" applyBorder="1"/>
    <xf numFmtId="164" fontId="14" fillId="6" borderId="1" xfId="2" applyNumberFormat="1" applyFont="1" applyFill="1" applyBorder="1"/>
    <xf numFmtId="164" fontId="14" fillId="6" borderId="1" xfId="2" applyNumberFormat="1" applyFont="1" applyFill="1" applyBorder="1" applyAlignment="1">
      <alignment horizontal="right"/>
    </xf>
    <xf numFmtId="0" fontId="14" fillId="7" borderId="0" xfId="2" applyFont="1" applyFill="1"/>
    <xf numFmtId="164" fontId="14" fillId="7" borderId="0" xfId="2" applyNumberFormat="1" applyFont="1" applyFill="1" applyAlignment="1">
      <alignment horizontal="right"/>
    </xf>
    <xf numFmtId="0" fontId="14" fillId="7" borderId="0" xfId="2" quotePrefix="1" applyFont="1" applyFill="1"/>
    <xf numFmtId="164" fontId="14" fillId="7" borderId="0" xfId="2" applyNumberFormat="1" applyFont="1" applyFill="1"/>
    <xf numFmtId="0" fontId="19" fillId="6" borderId="1" xfId="2" applyFont="1" applyFill="1" applyBorder="1" applyAlignment="1">
      <alignment horizontal="right"/>
    </xf>
    <xf numFmtId="0" fontId="14" fillId="6" borderId="1" xfId="2" quotePrefix="1" applyFont="1" applyFill="1" applyBorder="1"/>
    <xf numFmtId="168" fontId="14" fillId="6" borderId="1" xfId="2" applyNumberFormat="1" applyFont="1" applyFill="1" applyBorder="1"/>
    <xf numFmtId="0" fontId="14" fillId="3" borderId="0" xfId="2" applyFont="1" applyFill="1" applyAlignment="1">
      <alignment horizontal="right"/>
    </xf>
    <xf numFmtId="167" fontId="14" fillId="3" borderId="0" xfId="2" applyNumberFormat="1" applyFont="1" applyFill="1"/>
    <xf numFmtId="167" fontId="14" fillId="3" borderId="0" xfId="2" quotePrefix="1" applyNumberFormat="1" applyFont="1" applyFill="1"/>
    <xf numFmtId="167" fontId="14" fillId="6" borderId="0" xfId="2" applyNumberFormat="1" applyFont="1" applyFill="1" applyAlignment="1">
      <alignment horizontal="center"/>
    </xf>
    <xf numFmtId="1" fontId="14" fillId="6" borderId="1" xfId="2" applyNumberFormat="1" applyFont="1" applyFill="1" applyBorder="1"/>
    <xf numFmtId="167" fontId="14" fillId="6" borderId="1" xfId="2" applyNumberFormat="1" applyFont="1" applyFill="1" applyBorder="1"/>
    <xf numFmtId="0" fontId="14" fillId="7" borderId="1" xfId="2" applyFont="1" applyFill="1" applyBorder="1" applyAlignment="1">
      <alignment horizontal="right"/>
    </xf>
    <xf numFmtId="0" fontId="14" fillId="7" borderId="1" xfId="2" applyFont="1" applyFill="1" applyBorder="1"/>
    <xf numFmtId="167" fontId="14" fillId="9" borderId="0" xfId="2" applyNumberFormat="1" applyFont="1" applyFill="1" applyAlignment="1">
      <alignment horizontal="center"/>
    </xf>
    <xf numFmtId="0" fontId="14" fillId="9" borderId="1" xfId="2" applyFont="1" applyFill="1" applyBorder="1" applyAlignment="1">
      <alignment horizontal="right"/>
    </xf>
    <xf numFmtId="166" fontId="14" fillId="6" borderId="1" xfId="2" applyNumberFormat="1" applyFont="1" applyFill="1" applyBorder="1" applyAlignment="1">
      <alignment horizontal="right"/>
    </xf>
    <xf numFmtId="169" fontId="14" fillId="7" borderId="1" xfId="2" applyNumberFormat="1" applyFont="1" applyFill="1" applyBorder="1"/>
    <xf numFmtId="0" fontId="14" fillId="0" borderId="0" xfId="2" applyFont="1" applyFill="1"/>
    <xf numFmtId="0" fontId="14" fillId="6" borderId="0" xfId="1" quotePrefix="1" applyFont="1" applyFill="1" applyAlignment="1">
      <alignment horizontal="left"/>
    </xf>
    <xf numFmtId="0" fontId="14" fillId="6" borderId="0" xfId="1" applyFont="1" applyFill="1" applyAlignment="1"/>
    <xf numFmtId="1" fontId="14" fillId="6" borderId="0" xfId="1" quotePrefix="1" applyNumberFormat="1" applyFont="1" applyFill="1"/>
    <xf numFmtId="169" fontId="14" fillId="6" borderId="1" xfId="1" applyNumberFormat="1" applyFont="1" applyFill="1" applyBorder="1"/>
    <xf numFmtId="0" fontId="14" fillId="7" borderId="0" xfId="1" applyFont="1" applyFill="1" applyBorder="1"/>
    <xf numFmtId="0" fontId="14" fillId="7" borderId="0" xfId="1" quotePrefix="1" applyFont="1" applyFill="1" applyBorder="1"/>
    <xf numFmtId="164" fontId="14" fillId="7" borderId="0" xfId="1" applyNumberFormat="1" applyFont="1" applyFill="1" applyBorder="1"/>
    <xf numFmtId="164" fontId="14" fillId="6" borderId="0" xfId="1" applyNumberFormat="1" applyFont="1" applyFill="1" applyBorder="1"/>
    <xf numFmtId="0" fontId="14" fillId="6" borderId="0" xfId="1" quotePrefix="1" applyFont="1" applyFill="1" applyBorder="1"/>
    <xf numFmtId="0" fontId="14" fillId="0" borderId="1" xfId="1" applyFont="1" applyFill="1" applyBorder="1" applyAlignment="1">
      <alignment horizontal="right"/>
    </xf>
    <xf numFmtId="0" fontId="14" fillId="0" borderId="0" xfId="1" applyFont="1" applyFill="1"/>
    <xf numFmtId="164" fontId="14" fillId="6" borderId="1" xfId="2" quotePrefix="1" applyNumberFormat="1" applyFont="1" applyFill="1" applyBorder="1"/>
    <xf numFmtId="0" fontId="14" fillId="7" borderId="0" xfId="2" applyFont="1" applyFill="1" applyBorder="1" applyAlignment="1">
      <alignment horizontal="left"/>
    </xf>
    <xf numFmtId="9" fontId="14" fillId="0" borderId="1" xfId="2" applyNumberFormat="1" applyFont="1" applyFill="1" applyBorder="1" applyAlignment="1">
      <alignment horizontal="center"/>
    </xf>
    <xf numFmtId="0" fontId="14" fillId="0" borderId="1" xfId="2" applyFont="1" applyFill="1" applyBorder="1" applyAlignment="1">
      <alignment horizontal="right"/>
    </xf>
    <xf numFmtId="0" fontId="14" fillId="0" borderId="0" xfId="2" quotePrefix="1" applyFont="1" applyFill="1"/>
    <xf numFmtId="165" fontId="14" fillId="6" borderId="1" xfId="0" applyNumberFormat="1" applyFont="1" applyFill="1" applyBorder="1"/>
    <xf numFmtId="0" fontId="14" fillId="10" borderId="1" xfId="1" applyFont="1" applyFill="1" applyBorder="1"/>
    <xf numFmtId="0" fontId="14" fillId="10" borderId="1" xfId="1" applyFont="1" applyFill="1" applyBorder="1" applyAlignment="1">
      <alignment horizontal="center"/>
    </xf>
    <xf numFmtId="0" fontId="14" fillId="11" borderId="1" xfId="1" applyFont="1" applyFill="1" applyBorder="1"/>
    <xf numFmtId="0" fontId="14" fillId="11" borderId="1" xfId="1" applyFont="1" applyFill="1" applyBorder="1" applyAlignment="1">
      <alignment horizontal="center"/>
    </xf>
    <xf numFmtId="0" fontId="14" fillId="12" borderId="1" xfId="1" applyFont="1" applyFill="1" applyBorder="1"/>
    <xf numFmtId="0" fontId="14" fillId="12" borderId="1" xfId="1" applyFont="1" applyFill="1" applyBorder="1" applyAlignment="1">
      <alignment horizontal="center"/>
    </xf>
    <xf numFmtId="0" fontId="14" fillId="13" borderId="1" xfId="1" applyFont="1" applyFill="1" applyBorder="1" applyAlignment="1">
      <alignment horizontal="center"/>
    </xf>
    <xf numFmtId="0" fontId="14" fillId="14" borderId="1" xfId="1" applyFont="1" applyFill="1" applyBorder="1" applyAlignment="1">
      <alignment horizontal="center"/>
    </xf>
    <xf numFmtId="0" fontId="14" fillId="15" borderId="1" xfId="1" applyFont="1" applyFill="1" applyBorder="1" applyAlignment="1">
      <alignment horizontal="center"/>
    </xf>
    <xf numFmtId="9" fontId="14" fillId="0" borderId="1" xfId="1" applyNumberFormat="1" applyFont="1" applyFill="1" applyBorder="1" applyAlignment="1">
      <alignment horizontal="center"/>
    </xf>
    <xf numFmtId="0" fontId="14" fillId="0" borderId="0" xfId="1" quotePrefix="1" applyFont="1" applyFill="1"/>
    <xf numFmtId="165" fontId="14" fillId="6" borderId="0" xfId="0" applyNumberFormat="1" applyFont="1" applyFill="1"/>
    <xf numFmtId="165" fontId="14" fillId="6" borderId="0" xfId="0" applyNumberFormat="1" applyFont="1" applyFill="1" applyAlignment="1">
      <alignment horizontal="right"/>
    </xf>
    <xf numFmtId="0" fontId="14" fillId="0" borderId="1" xfId="0" applyFont="1" applyFill="1" applyBorder="1" applyAlignment="1">
      <alignment horizontal="right"/>
    </xf>
    <xf numFmtId="164" fontId="14" fillId="0" borderId="1" xfId="0" applyNumberFormat="1" applyFont="1" applyFill="1" applyBorder="1" applyAlignment="1">
      <alignment horizontal="center"/>
    </xf>
    <xf numFmtId="164" fontId="14" fillId="6" borderId="1" xfId="0" applyNumberFormat="1" applyFont="1" applyFill="1" applyBorder="1" applyAlignment="1">
      <alignment horizontal="right"/>
    </xf>
    <xf numFmtId="0" fontId="14" fillId="16" borderId="1" xfId="1" applyFont="1" applyFill="1" applyBorder="1"/>
    <xf numFmtId="0" fontId="14" fillId="16" borderId="1" xfId="1" applyFont="1" applyFill="1" applyBorder="1" applyAlignment="1">
      <alignment horizontal="center"/>
    </xf>
    <xf numFmtId="0" fontId="14" fillId="15" borderId="1" xfId="1" applyFont="1" applyFill="1" applyBorder="1"/>
    <xf numFmtId="0" fontId="14" fillId="7" borderId="1" xfId="1" applyFont="1" applyFill="1" applyBorder="1"/>
    <xf numFmtId="0" fontId="14" fillId="7" borderId="1" xfId="1" applyFont="1" applyFill="1" applyBorder="1" applyAlignment="1">
      <alignment horizontal="center"/>
    </xf>
    <xf numFmtId="0" fontId="14" fillId="7" borderId="0" xfId="1" applyFont="1" applyFill="1" applyAlignment="1">
      <alignment horizontal="center"/>
    </xf>
    <xf numFmtId="0" fontId="14" fillId="16" borderId="0" xfId="1" applyFont="1" applyFill="1" applyBorder="1" applyAlignment="1">
      <alignment horizontal="center"/>
    </xf>
    <xf numFmtId="0" fontId="14" fillId="15" borderId="0" xfId="1" applyFont="1" applyFill="1" applyAlignment="1">
      <alignment horizontal="center"/>
    </xf>
    <xf numFmtId="2" fontId="0" fillId="0" borderId="0" xfId="0" applyNumberFormat="1" applyFill="1"/>
    <xf numFmtId="2" fontId="0" fillId="0" borderId="0" xfId="0" applyNumberFormat="1"/>
    <xf numFmtId="0" fontId="0" fillId="0" borderId="0" xfId="0" applyAlignment="1">
      <alignment vertical="top"/>
    </xf>
    <xf numFmtId="0" fontId="14" fillId="16" borderId="0" xfId="1" applyFont="1" applyFill="1" applyAlignment="1">
      <alignment horizontal="center"/>
    </xf>
    <xf numFmtId="0" fontId="14" fillId="11" borderId="0" xfId="1" applyFont="1" applyFill="1" applyBorder="1" applyAlignment="1">
      <alignment horizontal="center"/>
    </xf>
    <xf numFmtId="0" fontId="14" fillId="13" borderId="0" xfId="1" applyFont="1" applyFill="1"/>
    <xf numFmtId="0" fontId="14" fillId="11" borderId="0" xfId="1" applyFont="1" applyFill="1"/>
    <xf numFmtId="0" fontId="14" fillId="14" borderId="0" xfId="1" applyFont="1" applyFill="1"/>
    <xf numFmtId="0" fontId="14" fillId="7" borderId="1" xfId="0" applyFont="1" applyFill="1" applyBorder="1" applyAlignment="1">
      <alignment horizontal="center" vertical="top" wrapText="1"/>
    </xf>
    <xf numFmtId="0" fontId="14" fillId="7" borderId="1" xfId="0" applyFont="1" applyFill="1" applyBorder="1" applyAlignment="1">
      <alignment horizontal="left" vertical="top" wrapText="1"/>
    </xf>
    <xf numFmtId="0" fontId="19" fillId="0" borderId="1" xfId="2" applyFont="1" applyBorder="1" applyAlignment="1">
      <alignment horizontal="right"/>
    </xf>
    <xf numFmtId="0" fontId="19" fillId="6" borderId="1" xfId="1" applyFont="1" applyFill="1" applyBorder="1" applyAlignment="1">
      <alignment horizontal="right"/>
    </xf>
    <xf numFmtId="0" fontId="19" fillId="0" borderId="1" xfId="2" applyFont="1" applyFill="1" applyBorder="1" applyAlignment="1">
      <alignment horizontal="right"/>
    </xf>
    <xf numFmtId="164" fontId="14" fillId="6" borderId="1" xfId="0" quotePrefix="1" applyNumberFormat="1" applyFont="1" applyFill="1" applyBorder="1" applyAlignment="1">
      <alignment horizontal="right"/>
    </xf>
    <xf numFmtId="0" fontId="14" fillId="15" borderId="2" xfId="1" applyFont="1" applyFill="1" applyBorder="1" applyAlignment="1">
      <alignment horizontal="center"/>
    </xf>
    <xf numFmtId="0" fontId="14" fillId="17" borderId="1" xfId="1" applyFont="1" applyFill="1" applyBorder="1"/>
    <xf numFmtId="0" fontId="14" fillId="17" borderId="1" xfId="1" applyFont="1" applyFill="1" applyBorder="1" applyAlignment="1">
      <alignment horizontal="center"/>
    </xf>
    <xf numFmtId="0" fontId="14" fillId="17" borderId="2" xfId="1" applyFont="1" applyFill="1" applyBorder="1" applyAlignment="1">
      <alignment horizontal="center"/>
    </xf>
    <xf numFmtId="0" fontId="14" fillId="18" borderId="1" xfId="1" applyFont="1" applyFill="1" applyBorder="1"/>
    <xf numFmtId="0" fontId="14" fillId="18" borderId="1" xfId="1" applyFont="1" applyFill="1" applyBorder="1" applyAlignment="1">
      <alignment horizontal="center"/>
    </xf>
    <xf numFmtId="0" fontId="14" fillId="18" borderId="2" xfId="1" applyFont="1" applyFill="1" applyBorder="1" applyAlignment="1">
      <alignment horizontal="center"/>
    </xf>
    <xf numFmtId="0" fontId="14" fillId="19" borderId="1" xfId="1" applyFont="1" applyFill="1" applyBorder="1"/>
    <xf numFmtId="0" fontId="14" fillId="19" borderId="1" xfId="1" applyFont="1" applyFill="1" applyBorder="1" applyAlignment="1">
      <alignment horizontal="center"/>
    </xf>
    <xf numFmtId="0" fontId="14" fillId="19" borderId="2" xfId="1" applyFont="1" applyFill="1" applyBorder="1" applyAlignment="1">
      <alignment horizontal="center"/>
    </xf>
    <xf numFmtId="0" fontId="14" fillId="6" borderId="1" xfId="1" quotePrefix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/>
    </xf>
    <xf numFmtId="0" fontId="14" fillId="0" borderId="5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" xfId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1" xfId="2" applyFont="1" applyFill="1" applyBorder="1" applyAlignment="1">
      <alignment horizontal="center"/>
    </xf>
    <xf numFmtId="0" fontId="14" fillId="2" borderId="1" xfId="2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/>
    </xf>
    <xf numFmtId="0" fontId="14" fillId="2" borderId="3" xfId="1" applyFont="1" applyFill="1" applyBorder="1" applyAlignment="1">
      <alignment horizontal="center"/>
    </xf>
    <xf numFmtId="0" fontId="14" fillId="2" borderId="4" xfId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19276</xdr:colOff>
      <xdr:row>10</xdr:row>
      <xdr:rowOff>79374</xdr:rowOff>
    </xdr:from>
    <xdr:to>
      <xdr:col>17</xdr:col>
      <xdr:colOff>555291</xdr:colOff>
      <xdr:row>36</xdr:row>
      <xdr:rowOff>152399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6576" y="2124074"/>
          <a:ext cx="3584015" cy="5203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11</xdr:row>
      <xdr:rowOff>0</xdr:rowOff>
    </xdr:from>
    <xdr:to>
      <xdr:col>18</xdr:col>
      <xdr:colOff>390019</xdr:colOff>
      <xdr:row>36</xdr:row>
      <xdr:rowOff>132714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49225" y="1857375"/>
          <a:ext cx="4047619" cy="50857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14</xdr:row>
      <xdr:rowOff>0</xdr:rowOff>
    </xdr:from>
    <xdr:to>
      <xdr:col>18</xdr:col>
      <xdr:colOff>418590</xdr:colOff>
      <xdr:row>39</xdr:row>
      <xdr:rowOff>142238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06550" y="2343150"/>
          <a:ext cx="4076190" cy="50952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9</xdr:row>
      <xdr:rowOff>0</xdr:rowOff>
    </xdr:from>
    <xdr:to>
      <xdr:col>15</xdr:col>
      <xdr:colOff>85257</xdr:colOff>
      <xdr:row>31</xdr:row>
      <xdr:rowOff>18448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72925" y="1676400"/>
          <a:ext cx="3742857" cy="48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9</xdr:row>
      <xdr:rowOff>0</xdr:rowOff>
    </xdr:from>
    <xdr:to>
      <xdr:col>17</xdr:col>
      <xdr:colOff>123276</xdr:colOff>
      <xdr:row>25</xdr:row>
      <xdr:rowOff>123414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2150" y="1533525"/>
          <a:ext cx="4390476" cy="328571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30</xdr:row>
      <xdr:rowOff>0</xdr:rowOff>
    </xdr:from>
    <xdr:to>
      <xdr:col>18</xdr:col>
      <xdr:colOff>370819</xdr:colOff>
      <xdr:row>37</xdr:row>
      <xdr:rowOff>114114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92150" y="5048250"/>
          <a:ext cx="5247619" cy="14857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31</xdr:row>
      <xdr:rowOff>88900</xdr:rowOff>
    </xdr:from>
    <xdr:to>
      <xdr:col>11</xdr:col>
      <xdr:colOff>2485102</xdr:colOff>
      <xdr:row>46</xdr:row>
      <xdr:rowOff>183924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3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0500" y="6794500"/>
          <a:ext cx="7692102" cy="295252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253999</xdr:rowOff>
    </xdr:from>
    <xdr:to>
      <xdr:col>22</xdr:col>
      <xdr:colOff>368300</xdr:colOff>
      <xdr:row>34</xdr:row>
      <xdr:rowOff>156420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3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61200" y="876299"/>
          <a:ext cx="5245100" cy="61317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14</xdr:row>
      <xdr:rowOff>104775</xdr:rowOff>
    </xdr:from>
    <xdr:to>
      <xdr:col>17</xdr:col>
      <xdr:colOff>75737</xdr:colOff>
      <xdr:row>34</xdr:row>
      <xdr:rowOff>18518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3B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0" y="2876550"/>
          <a:ext cx="3704762" cy="4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"/>
  <sheetViews>
    <sheetView tabSelected="1" workbookViewId="0">
      <selection activeCell="A2" sqref="A2"/>
    </sheetView>
  </sheetViews>
  <sheetFormatPr defaultColWidth="9.140625" defaultRowHeight="15"/>
  <cols>
    <col min="1" max="1" width="5.5703125" style="11" customWidth="1"/>
    <col min="2" max="2" width="6.140625" style="11" customWidth="1"/>
    <col min="3" max="3" width="5.85546875" style="11" customWidth="1"/>
    <col min="4" max="4" width="14" style="11" customWidth="1"/>
    <col min="5" max="5" width="3.5703125" style="11" customWidth="1"/>
    <col min="6" max="6" width="15.42578125" style="11" customWidth="1"/>
    <col min="7" max="7" width="23.7109375" style="11" customWidth="1"/>
    <col min="8" max="8" width="25.28515625" style="11" customWidth="1"/>
    <col min="9" max="16384" width="9.140625" style="11"/>
  </cols>
  <sheetData>
    <row r="1" spans="1:8">
      <c r="A1" s="10" t="s">
        <v>251</v>
      </c>
    </row>
    <row r="3" spans="1:8">
      <c r="B3" s="245" t="s">
        <v>7</v>
      </c>
      <c r="C3" s="88">
        <v>3</v>
      </c>
      <c r="D3" s="85"/>
      <c r="E3" s="246"/>
      <c r="F3" s="245" t="s">
        <v>84</v>
      </c>
      <c r="G3" s="262">
        <v>0.05</v>
      </c>
      <c r="H3" s="262">
        <v>0.01</v>
      </c>
    </row>
    <row r="4" spans="1:8" ht="17.25">
      <c r="B4" s="245" t="s">
        <v>8</v>
      </c>
      <c r="C4" s="88">
        <v>4</v>
      </c>
      <c r="D4" s="85"/>
      <c r="E4" s="246"/>
      <c r="F4" s="245" t="s">
        <v>388</v>
      </c>
      <c r="G4" s="301">
        <f>_xlfn.CHISQ.INV.RT(G3,C6)</f>
        <v>12.591587243743978</v>
      </c>
      <c r="H4" s="301">
        <f>_xlfn.CHISQ.INV.RT(H3,C6)</f>
        <v>16.811893829770931</v>
      </c>
    </row>
    <row r="5" spans="1:8">
      <c r="B5" s="85"/>
      <c r="C5" s="85"/>
      <c r="D5" s="85"/>
      <c r="E5" s="246"/>
      <c r="F5" s="246"/>
      <c r="G5" s="263" t="str">
        <f ca="1">_xlfn.FORMULATEXT(G4)</f>
        <v>=CHISQ.INV.RT(G3,C6)</v>
      </c>
      <c r="H5" s="263" t="str">
        <f ca="1">_xlfn.FORMULATEXT(H4)</f>
        <v>=CHISQ.INV.RT(H3,C6)</v>
      </c>
    </row>
    <row r="6" spans="1:8">
      <c r="B6" s="245" t="s">
        <v>9</v>
      </c>
      <c r="C6" s="181">
        <f>(C3-1)*(C4-1)</f>
        <v>6</v>
      </c>
      <c r="D6" s="86" t="str">
        <f ca="1">_xlfn.FORMULATEXT(C6)</f>
        <v>=(C3-1)*(C4-1)</v>
      </c>
      <c r="E6" s="246"/>
      <c r="F6" s="246"/>
      <c r="G6" s="246"/>
      <c r="H6" s="246"/>
    </row>
    <row r="7" spans="1:8">
      <c r="B7" s="246"/>
      <c r="C7" s="246"/>
      <c r="D7" s="246"/>
      <c r="E7" s="246"/>
      <c r="F7" s="245" t="s">
        <v>83</v>
      </c>
      <c r="G7" s="17">
        <v>8.92</v>
      </c>
      <c r="H7" s="86"/>
    </row>
    <row r="8" spans="1:8">
      <c r="B8" s="85"/>
      <c r="C8" s="246"/>
      <c r="D8" s="246"/>
      <c r="E8" s="246"/>
      <c r="F8" s="245" t="s">
        <v>70</v>
      </c>
      <c r="G8" s="196">
        <f>_xlfn.CHISQ.DIST(G7,C6,TRUE)</f>
        <v>0.82187254366591722</v>
      </c>
      <c r="H8" s="86" t="str">
        <f t="shared" ref="H8" ca="1" si="0">_xlfn.FORMULATEXT(G8)</f>
        <v>=CHISQ.DIST(G7,C6,TRUE)</v>
      </c>
    </row>
    <row r="10" spans="1:8">
      <c r="B10" s="14"/>
      <c r="C10" s="16"/>
      <c r="D10" s="16"/>
      <c r="H10" s="15"/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27"/>
  <sheetViews>
    <sheetView workbookViewId="0">
      <selection activeCell="A2" sqref="A2"/>
    </sheetView>
  </sheetViews>
  <sheetFormatPr defaultColWidth="9.140625" defaultRowHeight="15"/>
  <cols>
    <col min="1" max="1" width="9.140625" style="66"/>
    <col min="2" max="2" width="13.28515625" style="66" customWidth="1"/>
    <col min="3" max="3" width="21.7109375" style="66" customWidth="1"/>
    <col min="4" max="4" width="12" style="66" customWidth="1"/>
    <col min="5" max="5" width="18.42578125" style="66" customWidth="1"/>
    <col min="6" max="6" width="3.85546875" style="66" customWidth="1"/>
    <col min="7" max="7" width="22.5703125" style="66" customWidth="1"/>
    <col min="8" max="8" width="33.42578125" style="66" customWidth="1"/>
    <col min="9" max="9" width="9.140625" style="66"/>
    <col min="10" max="10" width="28.140625" style="66" customWidth="1"/>
    <col min="11" max="16384" width="9.140625" style="66"/>
  </cols>
  <sheetData>
    <row r="1" spans="1:10">
      <c r="A1" s="65" t="s">
        <v>273</v>
      </c>
    </row>
    <row r="3" spans="1:10">
      <c r="B3" s="66" t="s">
        <v>0</v>
      </c>
    </row>
    <row r="4" spans="1:10">
      <c r="C4" s="308" t="s">
        <v>14</v>
      </c>
      <c r="D4" s="308"/>
    </row>
    <row r="5" spans="1:10">
      <c r="B5" s="71"/>
      <c r="C5" s="72" t="s">
        <v>123</v>
      </c>
      <c r="D5" s="72" t="s">
        <v>124</v>
      </c>
      <c r="E5" s="73" t="s">
        <v>10</v>
      </c>
      <c r="G5" s="201" t="s">
        <v>64</v>
      </c>
      <c r="H5" s="201"/>
      <c r="I5" s="201"/>
      <c r="J5" s="201"/>
    </row>
    <row r="6" spans="1:10" ht="18">
      <c r="A6" s="309" t="s">
        <v>15</v>
      </c>
      <c r="B6" s="74" t="s">
        <v>123</v>
      </c>
      <c r="C6" s="75">
        <v>202</v>
      </c>
      <c r="D6" s="75">
        <v>115</v>
      </c>
      <c r="E6" s="73">
        <f>SUM(C6:D6)</f>
        <v>317</v>
      </c>
      <c r="F6" s="69"/>
      <c r="G6" s="201"/>
      <c r="H6" s="201" t="s">
        <v>267</v>
      </c>
      <c r="I6" s="201"/>
      <c r="J6" s="201"/>
    </row>
    <row r="7" spans="1:10" ht="18">
      <c r="A7" s="309"/>
      <c r="B7" s="74" t="s">
        <v>124</v>
      </c>
      <c r="C7" s="75">
        <v>89</v>
      </c>
      <c r="D7" s="75">
        <v>75</v>
      </c>
      <c r="E7" s="73">
        <f>SUM(C7:D7)</f>
        <v>164</v>
      </c>
      <c r="F7" s="69"/>
      <c r="G7" s="201"/>
      <c r="H7" s="201" t="s">
        <v>268</v>
      </c>
      <c r="I7" s="201"/>
      <c r="J7" s="201"/>
    </row>
    <row r="8" spans="1:10">
      <c r="B8" s="76" t="s">
        <v>10</v>
      </c>
      <c r="C8" s="73">
        <f>SUM(C6:C7)</f>
        <v>291</v>
      </c>
      <c r="D8" s="73">
        <f>SUM(D6:D7)</f>
        <v>190</v>
      </c>
      <c r="E8" s="73">
        <f>SUM(E6:E7)</f>
        <v>481</v>
      </c>
      <c r="F8" s="69"/>
      <c r="G8" s="201"/>
      <c r="H8" s="201"/>
      <c r="I8" s="201"/>
      <c r="J8" s="201"/>
    </row>
    <row r="9" spans="1:10">
      <c r="B9" s="73"/>
      <c r="C9" s="69"/>
      <c r="D9" s="69"/>
      <c r="E9" s="69"/>
      <c r="G9" s="204" t="s">
        <v>65</v>
      </c>
      <c r="H9" s="204" t="s">
        <v>4</v>
      </c>
      <c r="I9" s="204"/>
      <c r="J9" s="204"/>
    </row>
    <row r="10" spans="1:10">
      <c r="B10" s="66" t="s">
        <v>379</v>
      </c>
      <c r="G10" s="204"/>
      <c r="H10" s="204" t="s">
        <v>133</v>
      </c>
      <c r="I10" s="204"/>
      <c r="J10" s="204"/>
    </row>
    <row r="11" spans="1:10">
      <c r="B11" s="77" t="s">
        <v>2</v>
      </c>
      <c r="C11" s="77" t="s">
        <v>5</v>
      </c>
      <c r="D11" s="77" t="s">
        <v>11</v>
      </c>
      <c r="G11" s="204"/>
      <c r="H11" s="204"/>
      <c r="I11" s="204"/>
      <c r="J11" s="204"/>
    </row>
    <row r="12" spans="1:10">
      <c r="B12" s="78">
        <f>C6</f>
        <v>202</v>
      </c>
      <c r="C12" s="81">
        <f>C8*I16</f>
        <v>191.78170478170478</v>
      </c>
      <c r="D12" s="80">
        <f>(B12-C12)^2/C12</f>
        <v>0.54443961318981715</v>
      </c>
      <c r="E12" s="69" t="str">
        <f ca="1">_xlfn.FORMULATEXT(D12)</f>
        <v>=(B12-C12)^2/C12</v>
      </c>
      <c r="G12" s="206" t="s">
        <v>66</v>
      </c>
      <c r="H12" s="206"/>
      <c r="I12" s="206"/>
      <c r="J12" s="206"/>
    </row>
    <row r="13" spans="1:10">
      <c r="B13" s="78">
        <f>D6</f>
        <v>115</v>
      </c>
      <c r="C13" s="81">
        <f>D8*I16</f>
        <v>125.21829521829521</v>
      </c>
      <c r="D13" s="80">
        <f>(B13-C13)^2/C13</f>
        <v>0.83385224967492821</v>
      </c>
      <c r="E13" s="69"/>
      <c r="G13" s="206"/>
      <c r="H13" s="232" t="s">
        <v>94</v>
      </c>
      <c r="I13" s="208">
        <v>0.05</v>
      </c>
      <c r="J13" s="206"/>
    </row>
    <row r="14" spans="1:10">
      <c r="B14" s="78">
        <f>C7</f>
        <v>89</v>
      </c>
      <c r="C14" s="81">
        <f>C8*(1-I16)</f>
        <v>99.218295218295225</v>
      </c>
      <c r="D14" s="80">
        <f>(B14-C14)^2/C14</f>
        <v>1.0523619352510489</v>
      </c>
      <c r="E14" s="69"/>
      <c r="G14" s="206"/>
      <c r="H14" s="206"/>
      <c r="I14" s="206"/>
      <c r="J14" s="206"/>
    </row>
    <row r="15" spans="1:10">
      <c r="B15" s="78">
        <f>D7</f>
        <v>75</v>
      </c>
      <c r="C15" s="81">
        <f>D8*(1-I16)</f>
        <v>64.781704781704789</v>
      </c>
      <c r="D15" s="80">
        <f>(B15-C15)^2/C15</f>
        <v>1.6117753850423915</v>
      </c>
      <c r="E15" s="69" t="str">
        <f ca="1">_xlfn.FORMULATEXT(D15)</f>
        <v>=(B15-C15)^2/C15</v>
      </c>
      <c r="G15" s="209" t="s">
        <v>67</v>
      </c>
      <c r="H15" s="209"/>
      <c r="I15" s="209"/>
      <c r="J15" s="209"/>
    </row>
    <row r="16" spans="1:10">
      <c r="C16" s="66" t="str">
        <f ca="1">_xlfn.FORMULATEXT(C15)</f>
        <v>=D8*(1-I16)</v>
      </c>
      <c r="G16" s="209"/>
      <c r="H16" s="210" t="s">
        <v>12</v>
      </c>
      <c r="I16" s="213">
        <f>E6/E8</f>
        <v>0.65904365904365902</v>
      </c>
      <c r="J16" s="212" t="str">
        <f ca="1">_xlfn.FORMULATEXT(I16)</f>
        <v>=E6/E8</v>
      </c>
    </row>
    <row r="17" spans="7:10" ht="18.75">
      <c r="G17" s="209"/>
      <c r="H17" s="210" t="s">
        <v>395</v>
      </c>
      <c r="I17" s="213">
        <f>SUM(D12:D15)</f>
        <v>4.0424291831581858</v>
      </c>
      <c r="J17" s="212" t="str">
        <f t="shared" ref="J17:J22" ca="1" si="0">_xlfn.FORMULATEXT(I17)</f>
        <v>=SUM(D12:D15)</v>
      </c>
    </row>
    <row r="18" spans="7:10">
      <c r="G18" s="209"/>
      <c r="H18" s="210" t="s">
        <v>7</v>
      </c>
      <c r="I18" s="213">
        <f>COUNTA(B6:B7)</f>
        <v>2</v>
      </c>
      <c r="J18" s="212" t="str">
        <f t="shared" ca="1" si="0"/>
        <v>=COUNTA(B6:B7)</v>
      </c>
    </row>
    <row r="19" spans="7:10">
      <c r="G19" s="209"/>
      <c r="H19" s="210" t="s">
        <v>8</v>
      </c>
      <c r="I19" s="213">
        <f>COUNTA(C5:D5)</f>
        <v>2</v>
      </c>
      <c r="J19" s="212" t="str">
        <f t="shared" ca="1" si="0"/>
        <v>=COUNTA(C5:D5)</v>
      </c>
    </row>
    <row r="20" spans="7:10">
      <c r="G20" s="209"/>
      <c r="H20" s="210" t="s">
        <v>9</v>
      </c>
      <c r="I20" s="213">
        <f>(I18-1)*(I19-1)</f>
        <v>1</v>
      </c>
      <c r="J20" s="212" t="str">
        <f t="shared" ca="1" si="0"/>
        <v>=(I18-1)*(I19-1)</v>
      </c>
    </row>
    <row r="21" spans="7:10" ht="18.75">
      <c r="G21" s="209"/>
      <c r="H21" s="210" t="s">
        <v>390</v>
      </c>
      <c r="I21" s="247">
        <f>_xlfn.CHISQ.INV.RT(I13,I20)</f>
        <v>3.8414588206941236</v>
      </c>
      <c r="J21" s="212" t="str">
        <f t="shared" ca="1" si="0"/>
        <v>=CHISQ.INV.RT(I13,I20)</v>
      </c>
    </row>
    <row r="22" spans="7:10">
      <c r="G22" s="209"/>
      <c r="H22" s="210" t="s">
        <v>13</v>
      </c>
      <c r="I22" s="221">
        <f>_xlfn.CHISQ.DIST.RT(I17,I20)</f>
        <v>4.4369910708309243E-2</v>
      </c>
      <c r="J22" s="212" t="str">
        <f t="shared" ca="1" si="0"/>
        <v>=CHISQ.DIST.RT(I17,I20)</v>
      </c>
    </row>
    <row r="23" spans="7:10">
      <c r="G23" s="209"/>
      <c r="H23" s="209"/>
      <c r="I23" s="209"/>
      <c r="J23" s="209"/>
    </row>
    <row r="24" spans="7:10">
      <c r="G24" s="248" t="s">
        <v>68</v>
      </c>
      <c r="H24" s="216"/>
      <c r="I24" s="216"/>
      <c r="J24" s="218"/>
    </row>
    <row r="25" spans="7:10" ht="18.75">
      <c r="G25" s="216"/>
      <c r="H25" s="216" t="s">
        <v>399</v>
      </c>
      <c r="I25" s="216"/>
      <c r="J25" s="218"/>
    </row>
    <row r="26" spans="7:10" ht="18">
      <c r="G26" s="216"/>
      <c r="H26" s="216" t="s">
        <v>377</v>
      </c>
      <c r="I26" s="216"/>
      <c r="J26" s="218"/>
    </row>
    <row r="27" spans="7:10">
      <c r="G27" s="216"/>
      <c r="H27" s="216" t="s">
        <v>134</v>
      </c>
      <c r="I27" s="216"/>
      <c r="J27" s="216"/>
    </row>
  </sheetData>
  <mergeCells count="2">
    <mergeCell ref="C4:D4"/>
    <mergeCell ref="A6:A7"/>
  </mergeCells>
  <printOptions headings="1" gridLines="1"/>
  <pageMargins left="0.74803149606299213" right="0.74803149606299213" top="0.98425196850393704" bottom="0.98425196850393704" header="0.51181102362204722" footer="0.51181102362204722"/>
  <pageSetup paperSize="9" scale="74" orientation="landscape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17"/>
  <sheetViews>
    <sheetView workbookViewId="0">
      <selection activeCell="A2" sqref="A2"/>
    </sheetView>
  </sheetViews>
  <sheetFormatPr defaultColWidth="9.140625" defaultRowHeight="15"/>
  <cols>
    <col min="1" max="1" width="7.5703125" style="11" customWidth="1"/>
    <col min="2" max="2" width="44.5703125" style="11" customWidth="1"/>
    <col min="3" max="3" width="14.85546875" style="11" customWidth="1"/>
    <col min="4" max="4" width="30.7109375" style="11" customWidth="1"/>
    <col min="5" max="16384" width="9.140625" style="11"/>
  </cols>
  <sheetData>
    <row r="1" spans="1:4">
      <c r="A1" s="10" t="s">
        <v>274</v>
      </c>
    </row>
    <row r="3" spans="1:4">
      <c r="B3" s="25" t="s">
        <v>150</v>
      </c>
      <c r="C3" s="13">
        <v>15</v>
      </c>
    </row>
    <row r="4" spans="1:4">
      <c r="B4" s="25" t="s">
        <v>151</v>
      </c>
      <c r="C4" s="13">
        <v>4</v>
      </c>
    </row>
    <row r="5" spans="1:4">
      <c r="B5" s="25" t="s">
        <v>152</v>
      </c>
      <c r="C5" s="13">
        <v>3</v>
      </c>
    </row>
    <row r="6" spans="1:4">
      <c r="B6" s="25" t="s">
        <v>400</v>
      </c>
      <c r="C6" s="13">
        <v>0.05</v>
      </c>
    </row>
    <row r="8" spans="1:4">
      <c r="B8" s="25" t="s">
        <v>153</v>
      </c>
      <c r="C8" s="13">
        <v>0.5</v>
      </c>
    </row>
    <row r="9" spans="1:4">
      <c r="B9" s="25" t="s">
        <v>24</v>
      </c>
      <c r="C9" s="13">
        <f>SUM(C3:C4)-C5</f>
        <v>16</v>
      </c>
      <c r="D9" s="15" t="str">
        <f ca="1">_xlfn.FORMULATEXT(C9)</f>
        <v>=SUM(C3:C4)-C5</v>
      </c>
    </row>
    <row r="11" spans="1:4">
      <c r="B11" s="245" t="s">
        <v>36</v>
      </c>
      <c r="C11" s="88">
        <f>_xlfn.BINOM.DIST(15,C9,C8,FALSE)</f>
        <v>2.4414062500000027E-4</v>
      </c>
      <c r="D11" s="15" t="str">
        <f t="shared" ref="D11:D12" ca="1" si="0">_xlfn.FORMULATEXT(C11)</f>
        <v>=BINOM.DIST(15,C9,C8,FALSE)</v>
      </c>
    </row>
    <row r="12" spans="1:4">
      <c r="B12" s="245" t="s">
        <v>37</v>
      </c>
      <c r="C12" s="88">
        <f>_xlfn.BINOM.DIST(16,C9,C8,FALSE)</f>
        <v>1.5258789062500007E-5</v>
      </c>
      <c r="D12" s="15" t="str">
        <f t="shared" ca="1" si="0"/>
        <v>=BINOM.DIST(16,C9,C8,FALSE)</v>
      </c>
    </row>
    <row r="13" spans="1:4">
      <c r="B13" s="246"/>
      <c r="C13" s="246"/>
    </row>
    <row r="14" spans="1:4">
      <c r="B14" s="245" t="s">
        <v>154</v>
      </c>
      <c r="C14" s="88">
        <f>SUM(C11:C12)</f>
        <v>2.5939941406250027E-4</v>
      </c>
      <c r="D14" s="15" t="str">
        <f ca="1">_xlfn.FORMULATEXT(C14)</f>
        <v>=SUM(C11:C12)</v>
      </c>
    </row>
    <row r="15" spans="1:4">
      <c r="B15" s="246"/>
      <c r="C15" s="246"/>
    </row>
    <row r="16" spans="1:4" ht="18">
      <c r="B16" s="18" t="s">
        <v>275</v>
      </c>
    </row>
    <row r="17" spans="2:2">
      <c r="B17" s="11" t="s">
        <v>155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44"/>
  <sheetViews>
    <sheetView zoomScale="80" zoomScaleNormal="80" workbookViewId="0">
      <selection activeCell="A2" sqref="A2"/>
    </sheetView>
  </sheetViews>
  <sheetFormatPr defaultColWidth="9.140625" defaultRowHeight="15"/>
  <cols>
    <col min="1" max="1" width="13" style="11" customWidth="1"/>
    <col min="2" max="2" width="12.42578125" style="11" customWidth="1"/>
    <col min="3" max="3" width="12.5703125" style="11" customWidth="1"/>
    <col min="4" max="4" width="12.140625" style="11" customWidth="1"/>
    <col min="5" max="5" width="13.42578125" style="11" customWidth="1"/>
    <col min="6" max="6" width="31.7109375" style="24" customWidth="1"/>
    <col min="7" max="7" width="30.85546875" style="11" customWidth="1"/>
    <col min="8" max="8" width="46" style="11" customWidth="1"/>
    <col min="9" max="9" width="18.5703125" style="11" customWidth="1"/>
    <col min="10" max="10" width="44.140625" style="11" customWidth="1"/>
    <col min="11" max="11" width="4" style="11" customWidth="1"/>
    <col min="12" max="16384" width="9.140625" style="11"/>
  </cols>
  <sheetData>
    <row r="1" spans="1:13">
      <c r="A1" s="10" t="s">
        <v>276</v>
      </c>
    </row>
    <row r="3" spans="1:13" ht="18">
      <c r="A3" s="22" t="s">
        <v>156</v>
      </c>
      <c r="B3" s="22" t="s">
        <v>105</v>
      </c>
      <c r="C3" s="22" t="s">
        <v>148</v>
      </c>
      <c r="D3" s="22" t="s">
        <v>157</v>
      </c>
      <c r="E3" s="22" t="s">
        <v>28</v>
      </c>
      <c r="G3" s="170" t="s">
        <v>64</v>
      </c>
      <c r="H3" s="170" t="s">
        <v>277</v>
      </c>
      <c r="I3" s="170"/>
      <c r="J3" s="170"/>
    </row>
    <row r="4" spans="1:13" ht="18">
      <c r="A4" s="22">
        <v>1</v>
      </c>
      <c r="B4" s="82">
        <v>5</v>
      </c>
      <c r="C4" s="82">
        <v>8</v>
      </c>
      <c r="D4" s="82">
        <f>C4-B4</f>
        <v>3</v>
      </c>
      <c r="E4" s="83" t="str">
        <f t="shared" ref="E4:E43" si="0">IF(D4&lt;0,"-",IF(D4&gt;0,"+","0"))</f>
        <v>+</v>
      </c>
      <c r="F4" s="23" t="str">
        <f ca="1">_xlfn.FORMULATEXT(E4)</f>
        <v>=IF(D4&lt;0,"-",IF(D4&gt;0,"+","0"))</v>
      </c>
      <c r="G4" s="170"/>
      <c r="H4" s="170" t="s">
        <v>278</v>
      </c>
      <c r="I4" s="170"/>
      <c r="J4" s="170"/>
    </row>
    <row r="5" spans="1:13">
      <c r="A5" s="22">
        <v>2</v>
      </c>
      <c r="B5" s="82">
        <v>3</v>
      </c>
      <c r="C5" s="82">
        <v>5</v>
      </c>
      <c r="D5" s="82">
        <f t="shared" ref="D5:D43" si="1">C5-B5</f>
        <v>2</v>
      </c>
      <c r="E5" s="83" t="str">
        <f t="shared" si="0"/>
        <v>+</v>
      </c>
      <c r="G5" s="170"/>
      <c r="H5" s="170" t="s">
        <v>61</v>
      </c>
      <c r="I5" s="170"/>
      <c r="J5" s="170"/>
    </row>
    <row r="6" spans="1:13">
      <c r="A6" s="22">
        <v>3</v>
      </c>
      <c r="B6" s="82">
        <v>8</v>
      </c>
      <c r="C6" s="82">
        <v>7</v>
      </c>
      <c r="D6" s="82">
        <f t="shared" si="1"/>
        <v>-1</v>
      </c>
      <c r="E6" s="83" t="str">
        <f t="shared" si="0"/>
        <v>-</v>
      </c>
      <c r="G6" s="171" t="s">
        <v>65</v>
      </c>
      <c r="H6" s="172" t="s">
        <v>27</v>
      </c>
      <c r="I6" s="171"/>
      <c r="J6" s="171"/>
    </row>
    <row r="7" spans="1:13">
      <c r="A7" s="22">
        <v>4</v>
      </c>
      <c r="B7" s="82">
        <v>8</v>
      </c>
      <c r="C7" s="82">
        <v>8</v>
      </c>
      <c r="D7" s="82">
        <f t="shared" si="1"/>
        <v>0</v>
      </c>
      <c r="E7" s="83" t="str">
        <f t="shared" si="0"/>
        <v>0</v>
      </c>
      <c r="G7" s="171"/>
      <c r="H7" s="171"/>
      <c r="I7" s="171"/>
      <c r="J7" s="171"/>
    </row>
    <row r="8" spans="1:13">
      <c r="A8" s="22">
        <v>5</v>
      </c>
      <c r="B8" s="82">
        <v>4</v>
      </c>
      <c r="C8" s="82">
        <v>6</v>
      </c>
      <c r="D8" s="82">
        <f t="shared" si="1"/>
        <v>2</v>
      </c>
      <c r="E8" s="83" t="str">
        <f t="shared" si="0"/>
        <v>+</v>
      </c>
      <c r="G8" s="173" t="s">
        <v>66</v>
      </c>
      <c r="H8" s="174" t="s">
        <v>158</v>
      </c>
      <c r="I8" s="175">
        <v>0.05</v>
      </c>
      <c r="J8" s="176"/>
      <c r="M8" s="10" t="s">
        <v>238</v>
      </c>
    </row>
    <row r="9" spans="1:13">
      <c r="A9" s="22">
        <v>6</v>
      </c>
      <c r="B9" s="82">
        <v>5</v>
      </c>
      <c r="C9" s="82">
        <v>4</v>
      </c>
      <c r="D9" s="82">
        <f t="shared" si="1"/>
        <v>-1</v>
      </c>
      <c r="E9" s="83" t="str">
        <f t="shared" si="0"/>
        <v>-</v>
      </c>
      <c r="G9" s="173"/>
      <c r="H9" s="173"/>
      <c r="I9" s="173"/>
      <c r="J9" s="173"/>
    </row>
    <row r="10" spans="1:13">
      <c r="A10" s="22">
        <v>7</v>
      </c>
      <c r="B10" s="82">
        <v>8</v>
      </c>
      <c r="C10" s="82">
        <v>8</v>
      </c>
      <c r="D10" s="82">
        <f t="shared" si="1"/>
        <v>0</v>
      </c>
      <c r="E10" s="83" t="str">
        <f t="shared" si="0"/>
        <v>0</v>
      </c>
      <c r="G10" s="177" t="s">
        <v>67</v>
      </c>
      <c r="H10" s="178" t="s">
        <v>30</v>
      </c>
      <c r="I10" s="179">
        <f>MEDIAN(D4:D43)</f>
        <v>1</v>
      </c>
      <c r="J10" s="236" t="str">
        <f ca="1">_xlfn.FORMULATEXT(I10)</f>
        <v>=MEDIAN(D4:D43)</v>
      </c>
    </row>
    <row r="11" spans="1:13">
      <c r="A11" s="22">
        <v>8</v>
      </c>
      <c r="B11" s="82">
        <v>4</v>
      </c>
      <c r="C11" s="82">
        <v>6</v>
      </c>
      <c r="D11" s="82">
        <f t="shared" si="1"/>
        <v>2</v>
      </c>
      <c r="E11" s="83" t="str">
        <f t="shared" si="0"/>
        <v>+</v>
      </c>
      <c r="G11" s="177"/>
      <c r="H11" s="178" t="s">
        <v>31</v>
      </c>
      <c r="I11" s="181">
        <v>0.5</v>
      </c>
      <c r="J11" s="177"/>
    </row>
    <row r="12" spans="1:13">
      <c r="A12" s="22">
        <v>9</v>
      </c>
      <c r="B12" s="82">
        <v>3</v>
      </c>
      <c r="C12" s="82">
        <v>3</v>
      </c>
      <c r="D12" s="82">
        <f t="shared" si="1"/>
        <v>0</v>
      </c>
      <c r="E12" s="83" t="str">
        <f t="shared" si="0"/>
        <v>0</v>
      </c>
      <c r="G12" s="177"/>
      <c r="H12" s="178" t="s">
        <v>32</v>
      </c>
      <c r="I12" s="181">
        <f>COUNT(A4:A43)</f>
        <v>40</v>
      </c>
      <c r="J12" s="236" t="str">
        <f t="shared" ref="J12:J17" ca="1" si="2">_xlfn.FORMULATEXT(I12)</f>
        <v>=COUNT(A4:A43)</v>
      </c>
    </row>
    <row r="13" spans="1:13" ht="18">
      <c r="A13" s="22">
        <v>10</v>
      </c>
      <c r="B13" s="82">
        <v>6</v>
      </c>
      <c r="C13" s="82">
        <v>5</v>
      </c>
      <c r="D13" s="82">
        <f t="shared" si="1"/>
        <v>-1</v>
      </c>
      <c r="E13" s="83" t="str">
        <f t="shared" si="0"/>
        <v>-</v>
      </c>
      <c r="G13" s="177"/>
      <c r="H13" s="178" t="s">
        <v>279</v>
      </c>
      <c r="I13" s="181">
        <f>COUNTIF(E4:E43,"-")</f>
        <v>6</v>
      </c>
      <c r="J13" s="236" t="str">
        <f t="shared" ca="1" si="2"/>
        <v>=COUNTIF(E4:E43,"-")</v>
      </c>
    </row>
    <row r="14" spans="1:13" ht="18">
      <c r="A14" s="22">
        <v>11</v>
      </c>
      <c r="B14" s="82">
        <v>3</v>
      </c>
      <c r="C14" s="82">
        <v>4</v>
      </c>
      <c r="D14" s="82">
        <f t="shared" si="1"/>
        <v>1</v>
      </c>
      <c r="E14" s="83" t="str">
        <f t="shared" si="0"/>
        <v>+</v>
      </c>
      <c r="G14" s="177"/>
      <c r="H14" s="178" t="s">
        <v>280</v>
      </c>
      <c r="I14" s="181">
        <f>COUNTIF(E4:E43,"+")</f>
        <v>26</v>
      </c>
      <c r="J14" s="236" t="str">
        <f t="shared" ca="1" si="2"/>
        <v>=COUNTIF(E4:E43,"+")</v>
      </c>
    </row>
    <row r="15" spans="1:13" ht="18">
      <c r="A15" s="22">
        <v>12</v>
      </c>
      <c r="B15" s="82">
        <v>4</v>
      </c>
      <c r="C15" s="82">
        <v>5</v>
      </c>
      <c r="D15" s="82">
        <f t="shared" si="1"/>
        <v>1</v>
      </c>
      <c r="E15" s="83" t="str">
        <f t="shared" si="0"/>
        <v>+</v>
      </c>
      <c r="G15" s="177"/>
      <c r="H15" s="178" t="s">
        <v>281</v>
      </c>
      <c r="I15" s="181">
        <f>COUNTIF(E4:E43,"=0")</f>
        <v>8</v>
      </c>
      <c r="J15" s="236" t="str">
        <f t="shared" ca="1" si="2"/>
        <v>=COUNTIF(E4:E43,"=0")</v>
      </c>
    </row>
    <row r="16" spans="1:13">
      <c r="A16" s="22">
        <v>13</v>
      </c>
      <c r="B16" s="82">
        <v>6</v>
      </c>
      <c r="C16" s="82">
        <v>5</v>
      </c>
      <c r="D16" s="82">
        <f t="shared" si="1"/>
        <v>-1</v>
      </c>
      <c r="E16" s="83" t="str">
        <f t="shared" si="0"/>
        <v>-</v>
      </c>
      <c r="G16" s="177"/>
      <c r="H16" s="178" t="s">
        <v>159</v>
      </c>
      <c r="I16" s="181">
        <f>MAX(I13,I14)</f>
        <v>26</v>
      </c>
      <c r="J16" s="236" t="str">
        <f t="shared" ca="1" si="2"/>
        <v>=MAX(I13,I14)</v>
      </c>
    </row>
    <row r="17" spans="1:10">
      <c r="A17" s="22">
        <v>14</v>
      </c>
      <c r="B17" s="82">
        <v>4</v>
      </c>
      <c r="C17" s="82">
        <v>4</v>
      </c>
      <c r="D17" s="82">
        <f t="shared" si="1"/>
        <v>0</v>
      </c>
      <c r="E17" s="83" t="str">
        <f t="shared" si="0"/>
        <v>0</v>
      </c>
      <c r="G17" s="177"/>
      <c r="H17" s="178" t="s">
        <v>33</v>
      </c>
      <c r="I17" s="181">
        <f>I12-I15</f>
        <v>32</v>
      </c>
      <c r="J17" s="236" t="str">
        <f t="shared" ca="1" si="2"/>
        <v>=I12-I15</v>
      </c>
    </row>
    <row r="18" spans="1:10">
      <c r="A18" s="22">
        <v>15</v>
      </c>
      <c r="B18" s="82">
        <v>5</v>
      </c>
      <c r="C18" s="82">
        <v>6</v>
      </c>
      <c r="D18" s="82">
        <f t="shared" si="1"/>
        <v>1</v>
      </c>
      <c r="E18" s="83" t="str">
        <f t="shared" si="0"/>
        <v>+</v>
      </c>
      <c r="G18" s="177"/>
      <c r="H18" s="237" t="s">
        <v>160</v>
      </c>
      <c r="I18" s="177"/>
      <c r="J18" s="183"/>
    </row>
    <row r="19" spans="1:10">
      <c r="A19" s="22">
        <v>16</v>
      </c>
      <c r="B19" s="82">
        <v>7</v>
      </c>
      <c r="C19" s="82">
        <v>8</v>
      </c>
      <c r="D19" s="82">
        <f t="shared" si="1"/>
        <v>1</v>
      </c>
      <c r="E19" s="83" t="str">
        <f t="shared" si="0"/>
        <v>+</v>
      </c>
      <c r="G19" s="177"/>
      <c r="H19" s="178" t="s">
        <v>244</v>
      </c>
      <c r="I19" s="177"/>
      <c r="J19" s="183"/>
    </row>
    <row r="20" spans="1:10">
      <c r="A20" s="22">
        <v>17</v>
      </c>
      <c r="B20" s="82">
        <v>8</v>
      </c>
      <c r="C20" s="82">
        <v>9</v>
      </c>
      <c r="D20" s="82">
        <f t="shared" si="1"/>
        <v>1</v>
      </c>
      <c r="E20" s="83" t="str">
        <f t="shared" si="0"/>
        <v>+</v>
      </c>
      <c r="G20" s="177"/>
      <c r="H20" s="178">
        <v>26</v>
      </c>
      <c r="I20" s="184">
        <f>_xlfn.BINOM.DIST(H20,$I$17,$I$11,FALSE)</f>
        <v>2.109892666339871E-4</v>
      </c>
      <c r="J20" s="236" t="str">
        <f ca="1">_xlfn.FORMULATEXT(I20)</f>
        <v>=BINOM.DIST(H20,$I$17,$I$11,FALSE)</v>
      </c>
    </row>
    <row r="21" spans="1:10">
      <c r="A21" s="22">
        <v>18</v>
      </c>
      <c r="B21" s="82">
        <v>7</v>
      </c>
      <c r="C21" s="82">
        <v>8</v>
      </c>
      <c r="D21" s="82">
        <f t="shared" si="1"/>
        <v>1</v>
      </c>
      <c r="E21" s="83" t="str">
        <f t="shared" si="0"/>
        <v>+</v>
      </c>
      <c r="G21" s="177"/>
      <c r="H21" s="178">
        <v>27</v>
      </c>
      <c r="I21" s="184">
        <f t="shared" ref="I21:I26" si="3">_xlfn.BINOM.DIST(H21,$I$17,$I$11,FALSE)</f>
        <v>4.6886503696441603E-5</v>
      </c>
      <c r="J21" s="183"/>
    </row>
    <row r="22" spans="1:10">
      <c r="A22" s="22">
        <v>19</v>
      </c>
      <c r="B22" s="82">
        <v>6</v>
      </c>
      <c r="C22" s="82">
        <v>7</v>
      </c>
      <c r="D22" s="82">
        <f t="shared" si="1"/>
        <v>1</v>
      </c>
      <c r="E22" s="83" t="str">
        <f t="shared" si="0"/>
        <v>+</v>
      </c>
      <c r="G22" s="177"/>
      <c r="H22" s="178">
        <v>28</v>
      </c>
      <c r="I22" s="184">
        <f t="shared" si="3"/>
        <v>8.3725899457931637E-6</v>
      </c>
      <c r="J22" s="238"/>
    </row>
    <row r="23" spans="1:10">
      <c r="A23" s="22">
        <v>20</v>
      </c>
      <c r="B23" s="82">
        <v>5</v>
      </c>
      <c r="C23" s="82">
        <v>7</v>
      </c>
      <c r="D23" s="82">
        <f t="shared" si="1"/>
        <v>2</v>
      </c>
      <c r="E23" s="83" t="str">
        <f t="shared" si="0"/>
        <v>+</v>
      </c>
      <c r="G23" s="177"/>
      <c r="H23" s="178">
        <v>29</v>
      </c>
      <c r="I23" s="184">
        <f t="shared" si="3"/>
        <v>1.154839992523194E-6</v>
      </c>
      <c r="J23" s="177"/>
    </row>
    <row r="24" spans="1:10">
      <c r="A24" s="22">
        <v>21</v>
      </c>
      <c r="B24" s="82">
        <v>10</v>
      </c>
      <c r="C24" s="82">
        <v>9</v>
      </c>
      <c r="D24" s="82">
        <f t="shared" si="1"/>
        <v>-1</v>
      </c>
      <c r="E24" s="83" t="str">
        <f t="shared" si="0"/>
        <v>-</v>
      </c>
      <c r="G24" s="177"/>
      <c r="H24" s="178">
        <v>30</v>
      </c>
      <c r="I24" s="184">
        <f t="shared" si="3"/>
        <v>1.1548399925231961E-7</v>
      </c>
      <c r="J24" s="177"/>
    </row>
    <row r="25" spans="1:10">
      <c r="A25" s="22">
        <v>22</v>
      </c>
      <c r="B25" s="82">
        <v>7</v>
      </c>
      <c r="C25" s="82">
        <v>9</v>
      </c>
      <c r="D25" s="82">
        <f t="shared" si="1"/>
        <v>2</v>
      </c>
      <c r="E25" s="83" t="str">
        <f t="shared" si="0"/>
        <v>+</v>
      </c>
      <c r="G25" s="177"/>
      <c r="H25" s="178">
        <v>31</v>
      </c>
      <c r="I25" s="184">
        <f t="shared" si="3"/>
        <v>7.4505805969238074E-9</v>
      </c>
      <c r="J25" s="177"/>
    </row>
    <row r="26" spans="1:10">
      <c r="A26" s="22">
        <v>23</v>
      </c>
      <c r="B26" s="82">
        <v>4</v>
      </c>
      <c r="C26" s="82">
        <v>8</v>
      </c>
      <c r="D26" s="82">
        <f t="shared" si="1"/>
        <v>4</v>
      </c>
      <c r="E26" s="83" t="str">
        <f t="shared" si="0"/>
        <v>+</v>
      </c>
      <c r="G26" s="177"/>
      <c r="H26" s="178">
        <v>32</v>
      </c>
      <c r="I26" s="184">
        <f t="shared" si="3"/>
        <v>2.3283064365386978E-10</v>
      </c>
      <c r="J26" s="236" t="str">
        <f ca="1">_xlfn.FORMULATEXT(I26)</f>
        <v>=BINOM.DIST(H26,$I$17,$I$11,FALSE)</v>
      </c>
    </row>
    <row r="27" spans="1:10">
      <c r="A27" s="22">
        <v>24</v>
      </c>
      <c r="B27" s="82">
        <v>7</v>
      </c>
      <c r="C27" s="82">
        <v>9</v>
      </c>
      <c r="D27" s="82">
        <f t="shared" si="1"/>
        <v>2</v>
      </c>
      <c r="E27" s="83" t="str">
        <f t="shared" si="0"/>
        <v>+</v>
      </c>
      <c r="G27" s="177"/>
      <c r="H27" s="177"/>
      <c r="I27" s="177"/>
      <c r="J27" s="195"/>
    </row>
    <row r="28" spans="1:10">
      <c r="A28" s="22">
        <v>25</v>
      </c>
      <c r="B28" s="82">
        <v>8</v>
      </c>
      <c r="C28" s="82">
        <v>8</v>
      </c>
      <c r="D28" s="82">
        <f t="shared" si="1"/>
        <v>0</v>
      </c>
      <c r="E28" s="83" t="str">
        <f t="shared" si="0"/>
        <v>0</v>
      </c>
      <c r="G28" s="177"/>
      <c r="H28" s="178" t="s">
        <v>38</v>
      </c>
      <c r="I28" s="179">
        <f>SUM(I20:I26)</f>
        <v>2.6752636767923794E-4</v>
      </c>
      <c r="J28" s="236" t="str">
        <f t="shared" ref="J28:J29" ca="1" si="4">_xlfn.FORMULATEXT(I28)</f>
        <v>=SUM(I20:I26)</v>
      </c>
    </row>
    <row r="29" spans="1:10">
      <c r="A29" s="22">
        <v>26</v>
      </c>
      <c r="B29" s="82">
        <v>9</v>
      </c>
      <c r="C29" s="82">
        <v>9</v>
      </c>
      <c r="D29" s="82">
        <f t="shared" si="1"/>
        <v>0</v>
      </c>
      <c r="E29" s="83" t="str">
        <f t="shared" si="0"/>
        <v>0</v>
      </c>
      <c r="G29" s="177"/>
      <c r="H29" s="178" t="s">
        <v>241</v>
      </c>
      <c r="I29" s="239">
        <f>2*I28</f>
        <v>5.3505273535847588E-4</v>
      </c>
      <c r="J29" s="236" t="str">
        <f t="shared" ca="1" si="4"/>
        <v>=2*I28</v>
      </c>
    </row>
    <row r="30" spans="1:10">
      <c r="A30" s="22">
        <v>27</v>
      </c>
      <c r="B30" s="82">
        <v>7</v>
      </c>
      <c r="C30" s="82">
        <v>8</v>
      </c>
      <c r="D30" s="82">
        <f t="shared" si="1"/>
        <v>1</v>
      </c>
      <c r="E30" s="83" t="str">
        <f t="shared" si="0"/>
        <v>+</v>
      </c>
      <c r="G30" s="177"/>
      <c r="H30" s="177"/>
      <c r="I30" s="177"/>
      <c r="J30" s="177"/>
    </row>
    <row r="31" spans="1:10">
      <c r="A31" s="22">
        <v>28</v>
      </c>
      <c r="B31" s="82">
        <v>8</v>
      </c>
      <c r="C31" s="82">
        <v>10</v>
      </c>
      <c r="D31" s="82">
        <f>C31-B31</f>
        <v>2</v>
      </c>
      <c r="E31" s="83" t="str">
        <f t="shared" si="0"/>
        <v>+</v>
      </c>
      <c r="G31" s="186" t="s">
        <v>360</v>
      </c>
      <c r="H31" s="186"/>
      <c r="I31" s="240"/>
      <c r="J31" s="241"/>
    </row>
    <row r="32" spans="1:10" ht="18">
      <c r="A32" s="22">
        <v>29</v>
      </c>
      <c r="B32" s="82">
        <v>4</v>
      </c>
      <c r="C32" s="82">
        <v>8</v>
      </c>
      <c r="D32" s="82">
        <f t="shared" si="1"/>
        <v>4</v>
      </c>
      <c r="E32" s="83" t="str">
        <f t="shared" si="0"/>
        <v>+</v>
      </c>
      <c r="G32" s="186"/>
      <c r="H32" s="186" t="s">
        <v>282</v>
      </c>
      <c r="I32" s="242"/>
      <c r="J32" s="241"/>
    </row>
    <row r="33" spans="1:10">
      <c r="A33" s="22">
        <v>30</v>
      </c>
      <c r="B33" s="82">
        <v>8</v>
      </c>
      <c r="C33" s="82">
        <v>7</v>
      </c>
      <c r="D33" s="82">
        <f t="shared" si="1"/>
        <v>-1</v>
      </c>
      <c r="E33" s="83" t="str">
        <f t="shared" si="0"/>
        <v>-</v>
      </c>
      <c r="G33" s="18"/>
      <c r="I33" s="87"/>
      <c r="J33" s="86"/>
    </row>
    <row r="34" spans="1:10">
      <c r="A34" s="22">
        <v>31</v>
      </c>
      <c r="B34" s="82">
        <v>9</v>
      </c>
      <c r="C34" s="82">
        <v>10</v>
      </c>
      <c r="D34" s="82">
        <f t="shared" si="1"/>
        <v>1</v>
      </c>
      <c r="E34" s="83" t="str">
        <f t="shared" si="0"/>
        <v>+</v>
      </c>
      <c r="G34" s="177"/>
      <c r="H34" s="178" t="s">
        <v>247</v>
      </c>
      <c r="I34" s="243"/>
      <c r="J34" s="244"/>
    </row>
    <row r="35" spans="1:10">
      <c r="A35" s="22">
        <v>32</v>
      </c>
      <c r="B35" s="82">
        <v>3</v>
      </c>
      <c r="C35" s="82">
        <v>6</v>
      </c>
      <c r="D35" s="82">
        <f t="shared" si="1"/>
        <v>3</v>
      </c>
      <c r="E35" s="83" t="str">
        <f t="shared" si="0"/>
        <v>+</v>
      </c>
      <c r="G35" s="177"/>
      <c r="H35" s="178" t="s">
        <v>245</v>
      </c>
      <c r="I35" s="181">
        <f>I17*I11</f>
        <v>16</v>
      </c>
      <c r="J35" s="236" t="str">
        <f t="shared" ref="J35:J37" ca="1" si="5">_xlfn.FORMULATEXT(I35)</f>
        <v>=I17*I11</v>
      </c>
    </row>
    <row r="36" spans="1:10">
      <c r="A36" s="22">
        <v>33</v>
      </c>
      <c r="B36" s="82">
        <v>5</v>
      </c>
      <c r="C36" s="82">
        <v>5</v>
      </c>
      <c r="D36" s="82">
        <f t="shared" si="1"/>
        <v>0</v>
      </c>
      <c r="E36" s="83" t="str">
        <f t="shared" si="0"/>
        <v>0</v>
      </c>
      <c r="G36" s="177"/>
      <c r="H36" s="178" t="s">
        <v>246</v>
      </c>
      <c r="I36" s="179">
        <f>SQRT(I17*I11*(1-I11))</f>
        <v>2.8284271247461903</v>
      </c>
      <c r="J36" s="236" t="str">
        <f t="shared" ca="1" si="5"/>
        <v>=SQRT(I17*I11*(1-I11))</v>
      </c>
    </row>
    <row r="37" spans="1:10">
      <c r="A37" s="22">
        <v>34</v>
      </c>
      <c r="B37" s="82">
        <v>5</v>
      </c>
      <c r="C37" s="82">
        <v>8</v>
      </c>
      <c r="D37" s="82">
        <f t="shared" si="1"/>
        <v>3</v>
      </c>
      <c r="E37" s="83" t="str">
        <f t="shared" si="0"/>
        <v>+</v>
      </c>
      <c r="G37" s="177"/>
      <c r="H37" s="178" t="s">
        <v>401</v>
      </c>
      <c r="I37" s="239">
        <f>(I16-0.5-I35)/I36</f>
        <v>3.3587572106361003</v>
      </c>
      <c r="J37" s="236" t="str">
        <f t="shared" ca="1" si="5"/>
        <v>=(I16-0.5-I35)/I36</v>
      </c>
    </row>
    <row r="38" spans="1:10">
      <c r="A38" s="22">
        <v>35</v>
      </c>
      <c r="B38" s="82">
        <v>10</v>
      </c>
      <c r="C38" s="82">
        <v>10</v>
      </c>
      <c r="D38" s="82">
        <f t="shared" si="1"/>
        <v>0</v>
      </c>
      <c r="E38" s="83" t="str">
        <f t="shared" si="0"/>
        <v>0</v>
      </c>
      <c r="J38" s="86"/>
    </row>
    <row r="39" spans="1:10">
      <c r="A39" s="22">
        <v>36</v>
      </c>
      <c r="B39" s="82">
        <v>5</v>
      </c>
      <c r="C39" s="82">
        <v>6</v>
      </c>
      <c r="D39" s="82">
        <f t="shared" si="1"/>
        <v>1</v>
      </c>
      <c r="E39" s="83" t="str">
        <f t="shared" si="0"/>
        <v>+</v>
      </c>
      <c r="I39" s="14"/>
      <c r="J39" s="15"/>
    </row>
    <row r="40" spans="1:10">
      <c r="A40" s="22">
        <v>37</v>
      </c>
      <c r="B40" s="82">
        <v>8</v>
      </c>
      <c r="C40" s="82">
        <v>9</v>
      </c>
      <c r="D40" s="82">
        <f t="shared" si="1"/>
        <v>1</v>
      </c>
      <c r="E40" s="83" t="str">
        <f t="shared" si="0"/>
        <v>+</v>
      </c>
    </row>
    <row r="41" spans="1:10">
      <c r="A41" s="22">
        <v>38</v>
      </c>
      <c r="B41" s="82">
        <v>5</v>
      </c>
      <c r="C41" s="82">
        <v>6</v>
      </c>
      <c r="D41" s="82">
        <f t="shared" si="1"/>
        <v>1</v>
      </c>
      <c r="E41" s="83" t="str">
        <f t="shared" si="0"/>
        <v>+</v>
      </c>
    </row>
    <row r="42" spans="1:10">
      <c r="A42" s="22">
        <v>39</v>
      </c>
      <c r="B42" s="82">
        <v>8</v>
      </c>
      <c r="C42" s="82">
        <v>9</v>
      </c>
      <c r="D42" s="82">
        <f t="shared" si="1"/>
        <v>1</v>
      </c>
      <c r="E42" s="83" t="str">
        <f t="shared" si="0"/>
        <v>+</v>
      </c>
    </row>
    <row r="43" spans="1:10">
      <c r="A43" s="22">
        <v>40</v>
      </c>
      <c r="B43" s="82">
        <v>7</v>
      </c>
      <c r="C43" s="82">
        <v>8</v>
      </c>
      <c r="D43" s="82">
        <f t="shared" si="1"/>
        <v>1</v>
      </c>
      <c r="E43" s="83" t="str">
        <f t="shared" si="0"/>
        <v>+</v>
      </c>
    </row>
    <row r="44" spans="1:10">
      <c r="D44" s="84" t="str">
        <f ca="1">_xlfn.FORMULATEXT(D43)</f>
        <v>=C43-B43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43"/>
  <sheetViews>
    <sheetView workbookViewId="0">
      <selection activeCell="A2" sqref="A2"/>
    </sheetView>
  </sheetViews>
  <sheetFormatPr defaultColWidth="9.140625" defaultRowHeight="15"/>
  <cols>
    <col min="1" max="1" width="20" style="11" customWidth="1"/>
    <col min="2" max="2" width="16.7109375" style="11" customWidth="1"/>
    <col min="3" max="3" width="22.5703125" style="11" customWidth="1"/>
    <col min="4" max="4" width="11.7109375" style="11" customWidth="1"/>
    <col min="5" max="5" width="29.28515625" style="11" customWidth="1"/>
    <col min="6" max="6" width="32.5703125" style="11" customWidth="1"/>
    <col min="7" max="7" width="30.140625" style="11" customWidth="1"/>
    <col min="8" max="8" width="14.42578125" style="11" customWidth="1"/>
    <col min="9" max="9" width="39" style="11" customWidth="1"/>
    <col min="10" max="16384" width="9.140625" style="11"/>
  </cols>
  <sheetData>
    <row r="1" spans="1:9">
      <c r="A1" s="10" t="s">
        <v>283</v>
      </c>
    </row>
    <row r="3" spans="1:9" ht="18">
      <c r="A3" s="22" t="s">
        <v>156</v>
      </c>
      <c r="B3" s="22" t="s">
        <v>40</v>
      </c>
      <c r="C3" s="22" t="s">
        <v>224</v>
      </c>
      <c r="D3" s="22" t="s">
        <v>28</v>
      </c>
      <c r="E3" s="24"/>
      <c r="F3" s="201" t="s">
        <v>64</v>
      </c>
      <c r="G3" s="170" t="s">
        <v>284</v>
      </c>
      <c r="H3" s="170"/>
      <c r="I3" s="170"/>
    </row>
    <row r="4" spans="1:9" ht="18">
      <c r="A4" s="22">
        <v>1</v>
      </c>
      <c r="B4" s="82">
        <v>32</v>
      </c>
      <c r="C4" s="82">
        <f>B4-25</f>
        <v>7</v>
      </c>
      <c r="D4" s="83" t="str">
        <f t="shared" ref="D4:D18" si="0">IF(C4&lt;0,"-",IF(C4&gt;0,"+","0"))</f>
        <v>+</v>
      </c>
      <c r="E4" s="23" t="s">
        <v>161</v>
      </c>
      <c r="F4" s="201"/>
      <c r="G4" s="170" t="s">
        <v>285</v>
      </c>
      <c r="H4" s="170"/>
      <c r="I4" s="170"/>
    </row>
    <row r="5" spans="1:9">
      <c r="A5" s="22">
        <v>2</v>
      </c>
      <c r="B5" s="82">
        <v>19</v>
      </c>
      <c r="C5" s="82">
        <f t="shared" ref="C5:C18" si="1">B5-25</f>
        <v>-6</v>
      </c>
      <c r="D5" s="83" t="str">
        <f t="shared" si="0"/>
        <v>-</v>
      </c>
      <c r="E5" s="24"/>
      <c r="F5" s="201"/>
      <c r="G5" s="170" t="s">
        <v>225</v>
      </c>
      <c r="H5" s="170"/>
      <c r="I5" s="170"/>
    </row>
    <row r="6" spans="1:9">
      <c r="A6" s="22">
        <v>3</v>
      </c>
      <c r="B6" s="82">
        <v>26</v>
      </c>
      <c r="C6" s="82">
        <f t="shared" si="1"/>
        <v>1</v>
      </c>
      <c r="D6" s="83" t="str">
        <f t="shared" si="0"/>
        <v>+</v>
      </c>
      <c r="E6" s="24"/>
      <c r="F6" s="204" t="s">
        <v>65</v>
      </c>
      <c r="G6" s="172" t="s">
        <v>27</v>
      </c>
      <c r="H6" s="171"/>
      <c r="I6" s="171"/>
    </row>
    <row r="7" spans="1:9">
      <c r="A7" s="22">
        <v>4</v>
      </c>
      <c r="B7" s="82">
        <v>25</v>
      </c>
      <c r="C7" s="82">
        <f t="shared" si="1"/>
        <v>0</v>
      </c>
      <c r="D7" s="83" t="str">
        <f t="shared" si="0"/>
        <v>0</v>
      </c>
      <c r="E7" s="24"/>
      <c r="F7" s="204"/>
      <c r="G7" s="171"/>
      <c r="H7" s="171"/>
      <c r="I7" s="171"/>
    </row>
    <row r="8" spans="1:9">
      <c r="A8" s="22">
        <v>5</v>
      </c>
      <c r="B8" s="82">
        <v>28</v>
      </c>
      <c r="C8" s="82">
        <f t="shared" si="1"/>
        <v>3</v>
      </c>
      <c r="D8" s="83" t="str">
        <f t="shared" si="0"/>
        <v>+</v>
      </c>
      <c r="E8" s="24"/>
      <c r="F8" s="206" t="s">
        <v>66</v>
      </c>
      <c r="G8" s="174" t="s">
        <v>158</v>
      </c>
      <c r="H8" s="175">
        <v>0.05</v>
      </c>
      <c r="I8" s="176"/>
    </row>
    <row r="9" spans="1:9">
      <c r="A9" s="22">
        <v>6</v>
      </c>
      <c r="B9" s="82">
        <v>21</v>
      </c>
      <c r="C9" s="82">
        <f t="shared" si="1"/>
        <v>-4</v>
      </c>
      <c r="D9" s="83" t="str">
        <f t="shared" si="0"/>
        <v>-</v>
      </c>
      <c r="E9" s="24"/>
      <c r="F9" s="206"/>
      <c r="G9" s="173"/>
      <c r="H9" s="173"/>
      <c r="I9" s="173"/>
    </row>
    <row r="10" spans="1:9">
      <c r="A10" s="22">
        <v>7</v>
      </c>
      <c r="B10" s="82">
        <v>29</v>
      </c>
      <c r="C10" s="82">
        <f t="shared" si="1"/>
        <v>4</v>
      </c>
      <c r="D10" s="83" t="str">
        <f t="shared" si="0"/>
        <v>+</v>
      </c>
      <c r="E10" s="24"/>
      <c r="F10" s="209" t="s">
        <v>67</v>
      </c>
      <c r="G10" s="178" t="s">
        <v>30</v>
      </c>
      <c r="H10" s="179">
        <f>MEDIAN(C4:C18)</f>
        <v>1</v>
      </c>
      <c r="I10" s="180" t="str">
        <f ca="1">_xlfn.FORMULATEXT(H10)</f>
        <v>=MEDIAN(C4:C18)</v>
      </c>
    </row>
    <row r="11" spans="1:9">
      <c r="A11" s="22">
        <v>8</v>
      </c>
      <c r="B11" s="82">
        <v>22</v>
      </c>
      <c r="C11" s="82">
        <f t="shared" si="1"/>
        <v>-3</v>
      </c>
      <c r="D11" s="83" t="str">
        <f t="shared" si="0"/>
        <v>-</v>
      </c>
      <c r="E11" s="24"/>
      <c r="F11" s="209"/>
      <c r="G11" s="178" t="s">
        <v>31</v>
      </c>
      <c r="H11" s="181">
        <v>0.5</v>
      </c>
      <c r="I11" s="177"/>
    </row>
    <row r="12" spans="1:9">
      <c r="A12" s="22">
        <v>9</v>
      </c>
      <c r="B12" s="82">
        <v>27</v>
      </c>
      <c r="C12" s="82">
        <f t="shared" si="1"/>
        <v>2</v>
      </c>
      <c r="D12" s="83" t="str">
        <f t="shared" si="0"/>
        <v>+</v>
      </c>
      <c r="E12" s="24"/>
      <c r="F12" s="209"/>
      <c r="G12" s="178" t="s">
        <v>32</v>
      </c>
      <c r="H12" s="181">
        <f>COUNT(A4:A18)</f>
        <v>15</v>
      </c>
      <c r="I12" s="180" t="str">
        <f t="shared" ref="I12:I17" ca="1" si="2">_xlfn.FORMULATEXT(H12)</f>
        <v>=COUNT(A4:A18)</v>
      </c>
    </row>
    <row r="13" spans="1:9" ht="18">
      <c r="A13" s="22">
        <v>10</v>
      </c>
      <c r="B13" s="82">
        <v>28</v>
      </c>
      <c r="C13" s="82">
        <f t="shared" si="1"/>
        <v>3</v>
      </c>
      <c r="D13" s="83" t="str">
        <f t="shared" si="0"/>
        <v>+</v>
      </c>
      <c r="E13" s="24"/>
      <c r="F13" s="209"/>
      <c r="G13" s="178" t="s">
        <v>279</v>
      </c>
      <c r="H13" s="181">
        <f>COUNTIF(D4:D18,"-")</f>
        <v>4</v>
      </c>
      <c r="I13" s="180" t="str">
        <f t="shared" ca="1" si="2"/>
        <v>=COUNTIF(D4:D18,"-")</v>
      </c>
    </row>
    <row r="14" spans="1:9" ht="18">
      <c r="A14" s="22">
        <v>11</v>
      </c>
      <c r="B14" s="82">
        <v>26</v>
      </c>
      <c r="C14" s="82">
        <f t="shared" si="1"/>
        <v>1</v>
      </c>
      <c r="D14" s="83" t="str">
        <f t="shared" si="0"/>
        <v>+</v>
      </c>
      <c r="E14" s="24"/>
      <c r="F14" s="209"/>
      <c r="G14" s="178" t="s">
        <v>280</v>
      </c>
      <c r="H14" s="181">
        <f>COUNTIF(D4:D18,"+")</f>
        <v>10</v>
      </c>
      <c r="I14" s="180" t="str">
        <f t="shared" ca="1" si="2"/>
        <v>=COUNTIF(D4:D18,"+")</v>
      </c>
    </row>
    <row r="15" spans="1:9" ht="18">
      <c r="A15" s="22">
        <v>12</v>
      </c>
      <c r="B15" s="82">
        <v>23</v>
      </c>
      <c r="C15" s="82">
        <f t="shared" si="1"/>
        <v>-2</v>
      </c>
      <c r="D15" s="83" t="str">
        <f t="shared" si="0"/>
        <v>-</v>
      </c>
      <c r="E15" s="24"/>
      <c r="F15" s="209"/>
      <c r="G15" s="178" t="s">
        <v>281</v>
      </c>
      <c r="H15" s="181">
        <f>COUNTIF(D4:D18,"=0")</f>
        <v>1</v>
      </c>
      <c r="I15" s="180" t="str">
        <f t="shared" ca="1" si="2"/>
        <v>=COUNTIF(D4:D18,"=0")</v>
      </c>
    </row>
    <row r="16" spans="1:9">
      <c r="A16" s="22">
        <v>13</v>
      </c>
      <c r="B16" s="82">
        <v>26</v>
      </c>
      <c r="C16" s="82">
        <f t="shared" si="1"/>
        <v>1</v>
      </c>
      <c r="D16" s="83" t="str">
        <f t="shared" si="0"/>
        <v>+</v>
      </c>
      <c r="E16" s="24"/>
      <c r="F16" s="209"/>
      <c r="G16" s="178" t="s">
        <v>159</v>
      </c>
      <c r="H16" s="181">
        <f>MAX(H13,H14)</f>
        <v>10</v>
      </c>
      <c r="I16" s="180" t="str">
        <f t="shared" ca="1" si="2"/>
        <v>=MAX(H13,H14)</v>
      </c>
    </row>
    <row r="17" spans="1:9">
      <c r="A17" s="22">
        <v>14</v>
      </c>
      <c r="B17" s="82">
        <v>28</v>
      </c>
      <c r="C17" s="82">
        <f t="shared" si="1"/>
        <v>3</v>
      </c>
      <c r="D17" s="83" t="str">
        <f t="shared" si="0"/>
        <v>+</v>
      </c>
      <c r="E17" s="24"/>
      <c r="F17" s="209"/>
      <c r="G17" s="178" t="s">
        <v>33</v>
      </c>
      <c r="H17" s="181">
        <f>H12-H15</f>
        <v>14</v>
      </c>
      <c r="I17" s="180" t="str">
        <f t="shared" ca="1" si="2"/>
        <v>=H12-H15</v>
      </c>
    </row>
    <row r="18" spans="1:9">
      <c r="A18" s="22">
        <v>15</v>
      </c>
      <c r="B18" s="82">
        <v>29</v>
      </c>
      <c r="C18" s="82">
        <f t="shared" si="1"/>
        <v>4</v>
      </c>
      <c r="D18" s="83" t="str">
        <f t="shared" si="0"/>
        <v>+</v>
      </c>
      <c r="E18" s="24"/>
      <c r="F18" s="209"/>
      <c r="G18" s="182" t="s">
        <v>162</v>
      </c>
      <c r="H18" s="177"/>
      <c r="I18" s="183"/>
    </row>
    <row r="19" spans="1:9">
      <c r="A19" s="24"/>
      <c r="B19" s="89"/>
      <c r="C19" s="90" t="str">
        <f ca="1">_xlfn.FORMULATEXT(C18)</f>
        <v>=B18-25</v>
      </c>
      <c r="D19" s="91"/>
      <c r="E19" s="24"/>
      <c r="F19" s="209"/>
      <c r="G19" s="177"/>
      <c r="H19" s="177"/>
      <c r="I19" s="183"/>
    </row>
    <row r="20" spans="1:9">
      <c r="A20" s="24"/>
      <c r="B20" s="89"/>
      <c r="C20" s="89"/>
      <c r="D20" s="91"/>
      <c r="E20" s="24"/>
      <c r="F20" s="209"/>
      <c r="G20" s="178" t="s">
        <v>226</v>
      </c>
      <c r="H20" s="184">
        <f>_xlfn.BINOM.DIST(10,$H$17,$H$11,FALSE)</f>
        <v>6.1096191406250021E-2</v>
      </c>
      <c r="I20" s="180" t="str">
        <f t="shared" ref="I20:I24" ca="1" si="3">_xlfn.FORMULATEXT(H20)</f>
        <v>=BINOM.DIST(10,$H$17,$H$11,FALSE)</v>
      </c>
    </row>
    <row r="21" spans="1:9">
      <c r="A21" s="25" t="s">
        <v>248</v>
      </c>
      <c r="B21" s="82">
        <f>MEDIAN(B4:B18)</f>
        <v>26</v>
      </c>
      <c r="C21" s="82">
        <f>MEDIAN(C4:C18)</f>
        <v>1</v>
      </c>
      <c r="D21" s="91"/>
      <c r="E21" s="24"/>
      <c r="F21" s="209"/>
      <c r="G21" s="178" t="s">
        <v>163</v>
      </c>
      <c r="H21" s="184">
        <f>_xlfn.BINOM.DIST(11,$H$17,$H$11,FALSE)</f>
        <v>2.2216796875000007E-2</v>
      </c>
      <c r="I21" s="180" t="str">
        <f t="shared" ca="1" si="3"/>
        <v>=BINOM.DIST(11,$H$17,$H$11,FALSE)</v>
      </c>
    </row>
    <row r="22" spans="1:9">
      <c r="A22" s="24"/>
      <c r="B22" s="90" t="str">
        <f t="shared" ref="B22:C22" ca="1" si="4">_xlfn.FORMULATEXT(B21)</f>
        <v>=MEDIAN(B4:B18)</v>
      </c>
      <c r="C22" s="90" t="str">
        <f t="shared" ca="1" si="4"/>
        <v>=MEDIAN(C4:C18)</v>
      </c>
      <c r="D22" s="91"/>
      <c r="E22" s="24"/>
      <c r="F22" s="209"/>
      <c r="G22" s="178" t="s">
        <v>34</v>
      </c>
      <c r="H22" s="185">
        <f>_xlfn.BINOM.DIST(12,$H$17,$H$11,FALSE)</f>
        <v>5.5541992187500061E-3</v>
      </c>
      <c r="I22" s="180" t="str">
        <f t="shared" ca="1" si="3"/>
        <v>=BINOM.DIST(12,$H$17,$H$11,FALSE)</v>
      </c>
    </row>
    <row r="23" spans="1:9">
      <c r="A23" s="24"/>
      <c r="B23" s="89"/>
      <c r="C23" s="89"/>
      <c r="D23" s="91"/>
      <c r="E23" s="24"/>
      <c r="F23" s="209"/>
      <c r="G23" s="178" t="s">
        <v>35</v>
      </c>
      <c r="H23" s="184">
        <f>_xlfn.BINOM.DIST(13,$H$17,$H$11,FALSE)</f>
        <v>8.5449218749999902E-4</v>
      </c>
      <c r="I23" s="180" t="str">
        <f t="shared" ca="1" si="3"/>
        <v>=BINOM.DIST(13,$H$17,$H$11,FALSE)</v>
      </c>
    </row>
    <row r="24" spans="1:9">
      <c r="A24" s="24"/>
      <c r="B24" s="89"/>
      <c r="C24" s="89"/>
      <c r="D24" s="91"/>
      <c r="E24" s="24"/>
      <c r="F24" s="209"/>
      <c r="G24" s="178" t="s">
        <v>35</v>
      </c>
      <c r="H24" s="184">
        <f>_xlfn.BINOM.DIST(14,$H$17,$H$11,FALSE)</f>
        <v>6.1035156250000027E-5</v>
      </c>
      <c r="I24" s="180" t="str">
        <f t="shared" ca="1" si="3"/>
        <v>=BINOM.DIST(14,$H$17,$H$11,FALSE)</v>
      </c>
    </row>
    <row r="25" spans="1:9">
      <c r="A25" s="24"/>
      <c r="B25" s="89"/>
      <c r="C25" s="89"/>
      <c r="D25" s="91"/>
      <c r="E25" s="24"/>
      <c r="F25" s="209"/>
      <c r="G25" s="177"/>
      <c r="H25" s="177"/>
      <c r="I25" s="177"/>
    </row>
    <row r="26" spans="1:9">
      <c r="A26" s="24"/>
      <c r="B26" s="89"/>
      <c r="C26" s="89"/>
      <c r="D26" s="91"/>
      <c r="E26" s="24"/>
      <c r="F26" s="209"/>
      <c r="G26" s="178" t="s">
        <v>38</v>
      </c>
      <c r="H26" s="179">
        <f>SUM(H20:H24)</f>
        <v>8.9782714843750028E-2</v>
      </c>
      <c r="I26" s="180" t="str">
        <f t="shared" ref="I26:I27" ca="1" si="5">_xlfn.FORMULATEXT(H26)</f>
        <v>=SUM(H20:H24)</v>
      </c>
    </row>
    <row r="27" spans="1:9">
      <c r="A27" s="24"/>
      <c r="B27" s="89"/>
      <c r="C27" s="89"/>
      <c r="D27" s="91"/>
      <c r="E27" s="24"/>
      <c r="F27" s="209"/>
      <c r="G27" s="178" t="s">
        <v>242</v>
      </c>
      <c r="H27" s="181">
        <f>2*H26</f>
        <v>0.17956542968750006</v>
      </c>
      <c r="I27" s="180" t="str">
        <f t="shared" ca="1" si="5"/>
        <v>=2*H26</v>
      </c>
    </row>
    <row r="28" spans="1:9">
      <c r="A28" s="24"/>
      <c r="B28" s="89"/>
      <c r="C28" s="89"/>
      <c r="D28" s="91"/>
      <c r="E28" s="24"/>
      <c r="F28" s="209"/>
      <c r="G28" s="177"/>
      <c r="H28" s="177"/>
      <c r="I28" s="177"/>
    </row>
    <row r="29" spans="1:9">
      <c r="A29" s="24"/>
      <c r="B29" s="89"/>
      <c r="C29" s="89"/>
      <c r="D29" s="91"/>
      <c r="E29" s="24"/>
      <c r="F29" s="216" t="s">
        <v>68</v>
      </c>
      <c r="G29" s="186"/>
      <c r="H29" s="186"/>
      <c r="I29" s="189"/>
    </row>
    <row r="30" spans="1:9" ht="18">
      <c r="A30" s="24"/>
      <c r="B30" s="89"/>
      <c r="C30" s="89"/>
      <c r="D30" s="91"/>
      <c r="E30" s="24"/>
      <c r="F30" s="216"/>
      <c r="G30" s="186" t="s">
        <v>382</v>
      </c>
      <c r="H30" s="188"/>
      <c r="I30" s="189"/>
    </row>
    <row r="31" spans="1:9">
      <c r="A31" s="24"/>
      <c r="B31" s="89"/>
      <c r="C31" s="89"/>
      <c r="D31" s="91"/>
      <c r="E31" s="24"/>
      <c r="F31" s="235"/>
      <c r="G31" s="27"/>
      <c r="H31" s="92"/>
      <c r="I31" s="15"/>
    </row>
    <row r="32" spans="1:9">
      <c r="A32" s="24"/>
      <c r="B32" s="89"/>
      <c r="C32" s="89"/>
      <c r="D32" s="91"/>
      <c r="E32" s="24"/>
      <c r="F32" s="235"/>
      <c r="G32" s="27"/>
      <c r="H32" s="92"/>
      <c r="I32" s="15"/>
    </row>
    <row r="33" spans="1:9">
      <c r="A33" s="24"/>
      <c r="B33" s="89"/>
      <c r="C33" s="89"/>
      <c r="D33" s="91"/>
      <c r="E33" s="24"/>
      <c r="F33" s="235"/>
      <c r="I33" s="15"/>
    </row>
    <row r="34" spans="1:9">
      <c r="A34" s="24"/>
      <c r="B34" s="89"/>
      <c r="C34" s="89"/>
      <c r="D34" s="91"/>
      <c r="E34" s="24"/>
      <c r="F34" s="10"/>
    </row>
    <row r="35" spans="1:9">
      <c r="A35" s="24"/>
      <c r="B35" s="89"/>
      <c r="C35" s="89"/>
      <c r="D35" s="91"/>
      <c r="E35" s="24"/>
    </row>
    <row r="36" spans="1:9">
      <c r="A36" s="24"/>
      <c r="B36" s="89"/>
      <c r="C36" s="89"/>
      <c r="D36" s="91"/>
      <c r="E36" s="24"/>
    </row>
    <row r="37" spans="1:9">
      <c r="A37" s="24"/>
      <c r="B37" s="89"/>
      <c r="C37" s="89"/>
      <c r="D37" s="91"/>
      <c r="E37" s="24"/>
    </row>
    <row r="38" spans="1:9">
      <c r="A38" s="24"/>
      <c r="B38" s="89"/>
      <c r="C38" s="89"/>
      <c r="D38" s="91"/>
      <c r="E38" s="24"/>
    </row>
    <row r="39" spans="1:9">
      <c r="A39" s="24"/>
      <c r="B39" s="89"/>
      <c r="C39" s="89"/>
      <c r="D39" s="91"/>
      <c r="E39" s="24"/>
    </row>
    <row r="40" spans="1:9">
      <c r="A40" s="24"/>
      <c r="B40" s="89"/>
      <c r="C40" s="89"/>
      <c r="D40" s="91"/>
      <c r="E40" s="24"/>
    </row>
    <row r="41" spans="1:9">
      <c r="A41" s="24"/>
      <c r="B41" s="89"/>
      <c r="C41" s="89"/>
      <c r="D41" s="91"/>
      <c r="E41" s="24"/>
    </row>
    <row r="42" spans="1:9">
      <c r="A42" s="24"/>
      <c r="B42" s="89"/>
      <c r="C42" s="89"/>
      <c r="D42" s="91"/>
      <c r="E42" s="24"/>
    </row>
    <row r="43" spans="1:9">
      <c r="A43" s="24"/>
      <c r="B43" s="89"/>
      <c r="C43" s="89"/>
      <c r="D43" s="91"/>
      <c r="E43" s="24"/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9"/>
  <sheetViews>
    <sheetView workbookViewId="0">
      <selection activeCell="A2" sqref="A2"/>
    </sheetView>
  </sheetViews>
  <sheetFormatPr defaultColWidth="9.140625" defaultRowHeight="15"/>
  <cols>
    <col min="1" max="1" width="7" style="66" customWidth="1"/>
    <col min="2" max="16384" width="9.140625" style="66"/>
  </cols>
  <sheetData>
    <row r="1" spans="1:2">
      <c r="A1" s="65" t="s">
        <v>286</v>
      </c>
    </row>
    <row r="3" spans="1:2">
      <c r="B3" s="66" t="s">
        <v>164</v>
      </c>
    </row>
    <row r="5" spans="1:2">
      <c r="B5" s="66" t="s">
        <v>165</v>
      </c>
    </row>
    <row r="7" spans="1:2">
      <c r="B7" s="66" t="s">
        <v>166</v>
      </c>
    </row>
    <row r="9" spans="1:2">
      <c r="B9" s="66" t="s">
        <v>167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35"/>
  <sheetViews>
    <sheetView workbookViewId="0">
      <selection activeCell="A2" sqref="A2"/>
    </sheetView>
  </sheetViews>
  <sheetFormatPr defaultColWidth="9.140625" defaultRowHeight="15"/>
  <cols>
    <col min="1" max="1" width="11.140625" style="66" customWidth="1"/>
    <col min="2" max="2" width="12.5703125" style="66" customWidth="1"/>
    <col min="3" max="3" width="14.7109375" style="66" customWidth="1"/>
    <col min="4" max="4" width="15" style="66" customWidth="1"/>
    <col min="5" max="5" width="13.42578125" style="66" customWidth="1"/>
    <col min="6" max="6" width="9.140625" style="66"/>
    <col min="7" max="7" width="31.28515625" style="66" customWidth="1"/>
    <col min="8" max="8" width="24.140625" style="66" customWidth="1"/>
    <col min="9" max="9" width="25.140625" style="66" customWidth="1"/>
    <col min="10" max="10" width="11" style="66" customWidth="1"/>
    <col min="11" max="11" width="27.42578125" style="66" customWidth="1"/>
    <col min="12" max="16384" width="9.140625" style="66"/>
  </cols>
  <sheetData>
    <row r="1" spans="1:13">
      <c r="A1" s="65" t="s">
        <v>287</v>
      </c>
    </row>
    <row r="3" spans="1:13">
      <c r="A3" s="78" t="s">
        <v>59</v>
      </c>
      <c r="B3" s="78" t="s">
        <v>105</v>
      </c>
      <c r="C3" s="78" t="s">
        <v>148</v>
      </c>
      <c r="D3" s="78" t="s">
        <v>168</v>
      </c>
      <c r="E3" s="78" t="s">
        <v>42</v>
      </c>
      <c r="F3" s="78" t="s">
        <v>43</v>
      </c>
      <c r="G3" s="73"/>
      <c r="H3" s="201" t="s">
        <v>64</v>
      </c>
      <c r="I3" s="201"/>
      <c r="J3" s="201"/>
      <c r="K3" s="201"/>
    </row>
    <row r="4" spans="1:13" ht="18">
      <c r="A4" s="68">
        <v>1</v>
      </c>
      <c r="B4" s="93">
        <v>80</v>
      </c>
      <c r="C4" s="93">
        <v>89</v>
      </c>
      <c r="D4" s="93">
        <f>C4-B4-$J$7</f>
        <v>9</v>
      </c>
      <c r="E4" s="78">
        <f t="shared" ref="E4:E23" si="0">ABS(D4)</f>
        <v>9</v>
      </c>
      <c r="F4" s="78">
        <f>_xlfn.RANK.AVG(E4,$E$4:$E$23,1)</f>
        <v>13</v>
      </c>
      <c r="G4" s="69" t="str">
        <f ca="1">_xlfn.FORMULATEXT(F4)</f>
        <v>=RANK.AVG(E4,$E$4:$E$23,1)</v>
      </c>
      <c r="H4" s="201"/>
      <c r="I4" s="201" t="s">
        <v>288</v>
      </c>
      <c r="J4" s="201"/>
      <c r="K4" s="201"/>
    </row>
    <row r="5" spans="1:13" ht="18">
      <c r="A5" s="68">
        <v>2</v>
      </c>
      <c r="B5" s="93">
        <v>75</v>
      </c>
      <c r="C5" s="93">
        <v>82</v>
      </c>
      <c r="D5" s="93">
        <f t="shared" ref="D5:D23" si="1">C5-B5-$J$7</f>
        <v>7</v>
      </c>
      <c r="E5" s="78">
        <f t="shared" si="0"/>
        <v>7</v>
      </c>
      <c r="F5" s="78">
        <f t="shared" ref="F5:F23" si="2">_xlfn.RANK.AVG(E5,$E$4:$E$23,1)</f>
        <v>10</v>
      </c>
      <c r="H5" s="201"/>
      <c r="I5" s="201" t="s">
        <v>289</v>
      </c>
      <c r="J5" s="201"/>
      <c r="K5" s="201"/>
    </row>
    <row r="6" spans="1:13">
      <c r="A6" s="68">
        <v>3</v>
      </c>
      <c r="B6" s="93">
        <v>84</v>
      </c>
      <c r="C6" s="93">
        <v>96</v>
      </c>
      <c r="D6" s="93">
        <f t="shared" si="1"/>
        <v>12</v>
      </c>
      <c r="E6" s="78">
        <f t="shared" si="0"/>
        <v>12</v>
      </c>
      <c r="F6" s="78">
        <f t="shared" si="2"/>
        <v>18</v>
      </c>
      <c r="H6" s="201"/>
      <c r="I6" s="201" t="s">
        <v>29</v>
      </c>
      <c r="J6" s="201"/>
      <c r="K6" s="201"/>
    </row>
    <row r="7" spans="1:13">
      <c r="A7" s="68">
        <v>4</v>
      </c>
      <c r="B7" s="93">
        <v>65</v>
      </c>
      <c r="C7" s="93">
        <v>68</v>
      </c>
      <c r="D7" s="93">
        <f t="shared" si="1"/>
        <v>3</v>
      </c>
      <c r="E7" s="78">
        <f t="shared" si="0"/>
        <v>3</v>
      </c>
      <c r="F7" s="78">
        <f t="shared" si="2"/>
        <v>2.5</v>
      </c>
      <c r="H7" s="201"/>
      <c r="I7" s="223" t="s">
        <v>169</v>
      </c>
      <c r="J7" s="201">
        <v>0</v>
      </c>
      <c r="K7" s="201"/>
    </row>
    <row r="8" spans="1:13">
      <c r="A8" s="68">
        <v>5</v>
      </c>
      <c r="B8" s="93">
        <v>40</v>
      </c>
      <c r="C8" s="93">
        <v>45</v>
      </c>
      <c r="D8" s="93">
        <f t="shared" si="1"/>
        <v>5</v>
      </c>
      <c r="E8" s="78">
        <f t="shared" si="0"/>
        <v>5</v>
      </c>
      <c r="F8" s="78">
        <f t="shared" si="2"/>
        <v>6.5</v>
      </c>
      <c r="H8" s="201"/>
      <c r="I8" s="223" t="s">
        <v>44</v>
      </c>
      <c r="J8" s="224">
        <f>MEDIAN(D4:D23)</f>
        <v>7</v>
      </c>
      <c r="K8" s="225"/>
    </row>
    <row r="9" spans="1:13">
      <c r="A9" s="68">
        <v>6</v>
      </c>
      <c r="B9" s="93">
        <v>72</v>
      </c>
      <c r="C9" s="93">
        <v>79</v>
      </c>
      <c r="D9" s="93">
        <f t="shared" si="1"/>
        <v>7</v>
      </c>
      <c r="E9" s="78">
        <f t="shared" si="0"/>
        <v>7</v>
      </c>
      <c r="F9" s="78">
        <f t="shared" si="2"/>
        <v>10</v>
      </c>
      <c r="H9" s="204" t="s">
        <v>65</v>
      </c>
      <c r="I9" s="204"/>
      <c r="J9" s="204"/>
      <c r="K9" s="204"/>
    </row>
    <row r="10" spans="1:13">
      <c r="A10" s="68">
        <v>7</v>
      </c>
      <c r="B10" s="93">
        <v>41</v>
      </c>
      <c r="C10" s="93">
        <v>30</v>
      </c>
      <c r="D10" s="93">
        <f t="shared" si="1"/>
        <v>-11</v>
      </c>
      <c r="E10" s="78">
        <f t="shared" si="0"/>
        <v>11</v>
      </c>
      <c r="F10" s="78">
        <f t="shared" si="2"/>
        <v>16.5</v>
      </c>
      <c r="H10" s="204"/>
      <c r="I10" s="204" t="s">
        <v>45</v>
      </c>
      <c r="J10" s="204"/>
      <c r="K10" s="204"/>
      <c r="M10" s="65" t="s">
        <v>238</v>
      </c>
    </row>
    <row r="11" spans="1:13">
      <c r="A11" s="68">
        <v>8</v>
      </c>
      <c r="B11" s="93">
        <v>10</v>
      </c>
      <c r="C11" s="93">
        <v>15</v>
      </c>
      <c r="D11" s="93">
        <f t="shared" si="1"/>
        <v>5</v>
      </c>
      <c r="E11" s="78">
        <f t="shared" si="0"/>
        <v>5</v>
      </c>
      <c r="F11" s="78">
        <f t="shared" si="2"/>
        <v>6.5</v>
      </c>
      <c r="H11" s="204"/>
      <c r="I11" s="204"/>
      <c r="J11" s="204"/>
      <c r="K11" s="204"/>
    </row>
    <row r="12" spans="1:13">
      <c r="A12" s="68">
        <v>9</v>
      </c>
      <c r="B12" s="93">
        <v>16</v>
      </c>
      <c r="C12" s="93">
        <v>12</v>
      </c>
      <c r="D12" s="93">
        <f t="shared" si="1"/>
        <v>-4</v>
      </c>
      <c r="E12" s="78">
        <f t="shared" si="0"/>
        <v>4</v>
      </c>
      <c r="F12" s="78">
        <f t="shared" si="2"/>
        <v>4.5</v>
      </c>
      <c r="H12" s="206" t="s">
        <v>66</v>
      </c>
      <c r="I12" s="231"/>
      <c r="J12" s="206"/>
      <c r="K12" s="206"/>
    </row>
    <row r="13" spans="1:13">
      <c r="A13" s="68">
        <v>10</v>
      </c>
      <c r="B13" s="93">
        <v>17</v>
      </c>
      <c r="C13" s="93">
        <v>24</v>
      </c>
      <c r="D13" s="93">
        <f t="shared" si="1"/>
        <v>7</v>
      </c>
      <c r="E13" s="78">
        <f t="shared" si="0"/>
        <v>7</v>
      </c>
      <c r="F13" s="78">
        <f t="shared" si="2"/>
        <v>10</v>
      </c>
      <c r="H13" s="206"/>
      <c r="I13" s="232" t="s">
        <v>158</v>
      </c>
      <c r="J13" s="208">
        <v>0.05</v>
      </c>
      <c r="K13" s="206"/>
    </row>
    <row r="14" spans="1:13">
      <c r="A14" s="68">
        <v>11</v>
      </c>
      <c r="B14" s="93">
        <v>37</v>
      </c>
      <c r="C14" s="93">
        <v>40</v>
      </c>
      <c r="D14" s="93">
        <f t="shared" si="1"/>
        <v>3</v>
      </c>
      <c r="E14" s="78">
        <f t="shared" si="0"/>
        <v>3</v>
      </c>
      <c r="F14" s="78">
        <f t="shared" si="2"/>
        <v>2.5</v>
      </c>
      <c r="H14" s="206"/>
      <c r="I14" s="231"/>
      <c r="J14" s="206"/>
      <c r="K14" s="206"/>
    </row>
    <row r="15" spans="1:13">
      <c r="A15" s="68">
        <v>12</v>
      </c>
      <c r="B15" s="93">
        <v>55</v>
      </c>
      <c r="C15" s="93">
        <v>68</v>
      </c>
      <c r="D15" s="93">
        <f t="shared" si="1"/>
        <v>13</v>
      </c>
      <c r="E15" s="78">
        <f t="shared" si="0"/>
        <v>13</v>
      </c>
      <c r="F15" s="78">
        <f t="shared" si="2"/>
        <v>19</v>
      </c>
      <c r="H15" s="209" t="s">
        <v>67</v>
      </c>
      <c r="I15" s="226"/>
      <c r="J15" s="209"/>
      <c r="K15" s="209"/>
    </row>
    <row r="16" spans="1:13">
      <c r="A16" s="68">
        <v>13</v>
      </c>
      <c r="B16" s="93">
        <v>80</v>
      </c>
      <c r="C16" s="93">
        <v>88</v>
      </c>
      <c r="D16" s="93">
        <f t="shared" si="1"/>
        <v>8</v>
      </c>
      <c r="E16" s="78">
        <f t="shared" si="0"/>
        <v>8</v>
      </c>
      <c r="F16" s="78">
        <f t="shared" si="2"/>
        <v>12</v>
      </c>
      <c r="H16" s="209"/>
      <c r="I16" s="210" t="s">
        <v>24</v>
      </c>
      <c r="J16" s="227">
        <f>COUNT(A4:A23)</f>
        <v>20</v>
      </c>
      <c r="K16" s="212" t="str">
        <f t="shared" ref="K16:K26" ca="1" si="3">_xlfn.FORMULATEXT(J16)</f>
        <v>=COUNT(A4:A23)</v>
      </c>
    </row>
    <row r="17" spans="1:11" ht="18">
      <c r="A17" s="68">
        <v>14</v>
      </c>
      <c r="B17" s="93">
        <v>85</v>
      </c>
      <c r="C17" s="93">
        <v>95</v>
      </c>
      <c r="D17" s="93">
        <f t="shared" si="1"/>
        <v>10</v>
      </c>
      <c r="E17" s="78">
        <f t="shared" si="0"/>
        <v>10</v>
      </c>
      <c r="F17" s="78">
        <f t="shared" si="2"/>
        <v>14.5</v>
      </c>
      <c r="H17" s="209"/>
      <c r="I17" s="210" t="s">
        <v>290</v>
      </c>
      <c r="J17" s="213">
        <f>COUNTIF(E4:E23,"0")</f>
        <v>0</v>
      </c>
      <c r="K17" s="212" t="str">
        <f t="shared" ca="1" si="3"/>
        <v>=COUNTIF(E4:E23,"0")</v>
      </c>
    </row>
    <row r="18" spans="1:11">
      <c r="A18" s="68">
        <v>15</v>
      </c>
      <c r="B18" s="93">
        <v>17</v>
      </c>
      <c r="C18" s="93">
        <v>21</v>
      </c>
      <c r="D18" s="93">
        <f t="shared" si="1"/>
        <v>4</v>
      </c>
      <c r="E18" s="78">
        <f t="shared" si="0"/>
        <v>4</v>
      </c>
      <c r="F18" s="78">
        <f t="shared" si="2"/>
        <v>4.5</v>
      </c>
      <c r="H18" s="209"/>
      <c r="I18" s="210" t="s">
        <v>46</v>
      </c>
      <c r="J18" s="227">
        <f>J16-J17</f>
        <v>20</v>
      </c>
      <c r="K18" s="212" t="str">
        <f t="shared" ca="1" si="3"/>
        <v>=J16-J17</v>
      </c>
    </row>
    <row r="19" spans="1:11">
      <c r="A19" s="68">
        <v>16</v>
      </c>
      <c r="B19" s="93">
        <v>12</v>
      </c>
      <c r="C19" s="93">
        <v>22</v>
      </c>
      <c r="D19" s="93">
        <f t="shared" si="1"/>
        <v>10</v>
      </c>
      <c r="E19" s="78">
        <f t="shared" si="0"/>
        <v>10</v>
      </c>
      <c r="F19" s="78">
        <f t="shared" si="2"/>
        <v>14.5</v>
      </c>
      <c r="H19" s="209"/>
      <c r="I19" s="210" t="s">
        <v>47</v>
      </c>
      <c r="J19" s="227">
        <f>SUMIF(D4:D23,"&lt;0",F4:F23)</f>
        <v>21</v>
      </c>
      <c r="K19" s="212" t="str">
        <f t="shared" ca="1" si="3"/>
        <v>=SUMIF(D4:D23,"&lt;0",F4:F23)</v>
      </c>
    </row>
    <row r="20" spans="1:11">
      <c r="A20" s="68">
        <v>17</v>
      </c>
      <c r="B20" s="93">
        <v>15</v>
      </c>
      <c r="C20" s="93">
        <v>21</v>
      </c>
      <c r="D20" s="93">
        <f t="shared" si="1"/>
        <v>6</v>
      </c>
      <c r="E20" s="78">
        <f t="shared" si="0"/>
        <v>6</v>
      </c>
      <c r="F20" s="78">
        <f t="shared" si="2"/>
        <v>8</v>
      </c>
      <c r="H20" s="209"/>
      <c r="I20" s="210" t="s">
        <v>48</v>
      </c>
      <c r="J20" s="227">
        <f>SUMIF(D4:D23,"&gt;0",F4:F23)</f>
        <v>189</v>
      </c>
      <c r="K20" s="212" t="str">
        <f t="shared" ca="1" si="3"/>
        <v>=SUMIF(D4:D23,"&gt;0",F4:F23)</v>
      </c>
    </row>
    <row r="21" spans="1:11">
      <c r="A21" s="68">
        <v>18</v>
      </c>
      <c r="B21" s="93">
        <v>23</v>
      </c>
      <c r="C21" s="93">
        <v>25</v>
      </c>
      <c r="D21" s="93">
        <f t="shared" si="1"/>
        <v>2</v>
      </c>
      <c r="E21" s="78">
        <f t="shared" si="0"/>
        <v>2</v>
      </c>
      <c r="F21" s="78">
        <f t="shared" si="2"/>
        <v>1</v>
      </c>
      <c r="H21" s="209"/>
      <c r="I21" s="210" t="s">
        <v>239</v>
      </c>
      <c r="J21" s="227">
        <f>MIN(J19,J20)</f>
        <v>21</v>
      </c>
      <c r="K21" s="212" t="str">
        <f t="shared" ca="1" si="3"/>
        <v>=MIN(J19,J20)</v>
      </c>
    </row>
    <row r="22" spans="1:11">
      <c r="A22" s="68">
        <v>19</v>
      </c>
      <c r="B22" s="93">
        <v>34</v>
      </c>
      <c r="C22" s="93">
        <v>45</v>
      </c>
      <c r="D22" s="93">
        <f t="shared" si="1"/>
        <v>11</v>
      </c>
      <c r="E22" s="78">
        <f t="shared" si="0"/>
        <v>11</v>
      </c>
      <c r="F22" s="78">
        <f t="shared" si="2"/>
        <v>16.5</v>
      </c>
      <c r="H22" s="209"/>
      <c r="I22" s="220" t="s">
        <v>373</v>
      </c>
      <c r="J22" s="227">
        <f>J18*(J18+1)/4</f>
        <v>105</v>
      </c>
      <c r="K22" s="212" t="str">
        <f t="shared" ca="1" si="3"/>
        <v>=J18*(J18+1)/4</v>
      </c>
    </row>
    <row r="23" spans="1:11">
      <c r="A23" s="68">
        <v>20</v>
      </c>
      <c r="B23" s="93">
        <v>61</v>
      </c>
      <c r="C23" s="93">
        <v>80</v>
      </c>
      <c r="D23" s="93">
        <f t="shared" si="1"/>
        <v>19</v>
      </c>
      <c r="E23" s="78">
        <f t="shared" si="0"/>
        <v>19</v>
      </c>
      <c r="F23" s="78">
        <f t="shared" si="2"/>
        <v>20</v>
      </c>
      <c r="H23" s="209"/>
      <c r="I23" s="220" t="s">
        <v>374</v>
      </c>
      <c r="J23" s="228">
        <f>SQRT((J18*(J18+1)*(2*J18+1)/24))</f>
        <v>26.786190471957749</v>
      </c>
      <c r="K23" s="212" t="str">
        <f t="shared" ca="1" si="3"/>
        <v>=SQRT((J18*(J18+1)*(2*J18+1)/24))</v>
      </c>
    </row>
    <row r="24" spans="1:11" ht="18">
      <c r="B24" s="95"/>
      <c r="C24" s="95"/>
      <c r="D24" s="96" t="str">
        <f ca="1">_xlfn.FORMULATEXT(D23)</f>
        <v>=C23-B23-$J$7</v>
      </c>
      <c r="E24" s="96" t="str">
        <f ca="1">_xlfn.FORMULATEXT(E23)</f>
        <v>=ABS(D23)</v>
      </c>
      <c r="F24" s="97"/>
      <c r="G24" s="73"/>
      <c r="H24" s="209"/>
      <c r="I24" s="210" t="s">
        <v>271</v>
      </c>
      <c r="J24" s="214">
        <f>(J21-J22)/J23</f>
        <v>-3.135944250375541</v>
      </c>
      <c r="K24" s="212" t="str">
        <f t="shared" ca="1" si="3"/>
        <v>=(J21-J22)/J23</v>
      </c>
    </row>
    <row r="25" spans="1:11" ht="18">
      <c r="B25" s="95"/>
      <c r="C25" s="95"/>
      <c r="D25" s="95"/>
      <c r="E25" s="73"/>
      <c r="F25" s="98"/>
      <c r="G25" s="73"/>
      <c r="H25" s="209"/>
      <c r="I25" s="210" t="s">
        <v>291</v>
      </c>
      <c r="J25" s="214">
        <f>_xlfn.NORM.S.INV(J13)</f>
        <v>-1.6448536269514726</v>
      </c>
      <c r="K25" s="212" t="str">
        <f t="shared" ca="1" si="3"/>
        <v>=NORM.S.INV(J13)</v>
      </c>
    </row>
    <row r="26" spans="1:11">
      <c r="B26" s="95"/>
      <c r="C26" s="95"/>
      <c r="D26" s="95"/>
      <c r="E26" s="73"/>
      <c r="F26" s="98"/>
      <c r="G26" s="73"/>
      <c r="H26" s="209"/>
      <c r="I26" s="210" t="s">
        <v>39</v>
      </c>
      <c r="J26" s="233">
        <f>_xlfn.NORM.S.DIST(J24,TRUE)</f>
        <v>8.5650881910975211E-4</v>
      </c>
      <c r="K26" s="212" t="str">
        <f t="shared" ca="1" si="3"/>
        <v>=NORM.S.DIST(J24,TRUE)</v>
      </c>
    </row>
    <row r="27" spans="1:11">
      <c r="D27" s="95"/>
      <c r="E27" s="73"/>
      <c r="F27" s="98"/>
      <c r="G27" s="73"/>
      <c r="H27" s="209"/>
      <c r="I27" s="209"/>
      <c r="J27" s="209"/>
      <c r="K27" s="209"/>
    </row>
    <row r="28" spans="1:11">
      <c r="D28" s="98"/>
      <c r="F28" s="98"/>
      <c r="H28" s="216" t="s">
        <v>68</v>
      </c>
      <c r="I28" s="216"/>
      <c r="J28" s="216"/>
      <c r="K28" s="216"/>
    </row>
    <row r="29" spans="1:11" ht="18">
      <c r="D29" s="98"/>
      <c r="F29" s="98"/>
      <c r="H29" s="216"/>
      <c r="I29" s="216" t="s">
        <v>292</v>
      </c>
      <c r="J29" s="216"/>
      <c r="K29" s="216"/>
    </row>
    <row r="30" spans="1:11" ht="18">
      <c r="D30" s="98"/>
      <c r="F30" s="98"/>
      <c r="H30" s="216"/>
      <c r="I30" s="216" t="s">
        <v>293</v>
      </c>
      <c r="J30" s="216"/>
      <c r="K30" s="216"/>
    </row>
    <row r="31" spans="1:11">
      <c r="D31" s="98"/>
      <c r="F31" s="98"/>
    </row>
    <row r="32" spans="1:11">
      <c r="D32" s="98"/>
      <c r="F32" s="98"/>
      <c r="H32" s="216"/>
      <c r="I32" s="229" t="s">
        <v>249</v>
      </c>
      <c r="J32" s="234">
        <f>J26*2</f>
        <v>1.7130176382195042E-3</v>
      </c>
      <c r="K32" s="218" t="str">
        <f ca="1">_xlfn.FORMULATEXT(J32)</f>
        <v>=J26*2</v>
      </c>
    </row>
    <row r="33" spans="4:10">
      <c r="D33" s="98"/>
      <c r="F33" s="98"/>
    </row>
    <row r="34" spans="4:10">
      <c r="D34" s="98"/>
      <c r="F34" s="98"/>
      <c r="I34" s="94"/>
      <c r="J34" s="99"/>
    </row>
    <row r="35" spans="4:10">
      <c r="D35" s="98"/>
      <c r="F35" s="98"/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35"/>
  <sheetViews>
    <sheetView workbookViewId="0">
      <selection activeCell="A2" sqref="A2"/>
    </sheetView>
  </sheetViews>
  <sheetFormatPr defaultColWidth="9.140625" defaultRowHeight="15"/>
  <cols>
    <col min="1" max="1" width="10.5703125" style="66" customWidth="1"/>
    <col min="2" max="2" width="13.7109375" style="66" customWidth="1"/>
    <col min="3" max="3" width="13.42578125" style="66" customWidth="1"/>
    <col min="4" max="4" width="15.85546875" style="66" customWidth="1"/>
    <col min="5" max="5" width="13.7109375" style="66" customWidth="1"/>
    <col min="6" max="6" width="12.7109375" style="66" customWidth="1"/>
    <col min="7" max="7" width="28.28515625" style="66" customWidth="1"/>
    <col min="8" max="8" width="23.85546875" style="66" customWidth="1"/>
    <col min="9" max="9" width="29.85546875" style="66" customWidth="1"/>
    <col min="10" max="10" width="10.5703125" style="66" customWidth="1"/>
    <col min="11" max="11" width="34.28515625" style="66" customWidth="1"/>
    <col min="12" max="16384" width="9.140625" style="66"/>
  </cols>
  <sheetData>
    <row r="1" spans="1:13">
      <c r="A1" s="65" t="s">
        <v>294</v>
      </c>
    </row>
    <row r="3" spans="1:13">
      <c r="A3" s="100" t="s">
        <v>59</v>
      </c>
      <c r="B3" s="100" t="s">
        <v>105</v>
      </c>
      <c r="C3" s="100" t="s">
        <v>148</v>
      </c>
      <c r="D3" s="100" t="s">
        <v>168</v>
      </c>
      <c r="E3" s="100" t="s">
        <v>42</v>
      </c>
      <c r="F3" s="100" t="s">
        <v>43</v>
      </c>
      <c r="G3" s="73"/>
      <c r="H3" s="201" t="s">
        <v>64</v>
      </c>
      <c r="I3" s="201"/>
      <c r="J3" s="201"/>
      <c r="K3" s="201"/>
    </row>
    <row r="4" spans="1:13" ht="18">
      <c r="A4" s="68">
        <v>1</v>
      </c>
      <c r="B4" s="101">
        <v>49</v>
      </c>
      <c r="C4" s="101">
        <v>22</v>
      </c>
      <c r="D4" s="93">
        <f>B4-C4-$J$7</f>
        <v>27</v>
      </c>
      <c r="E4" s="78">
        <f t="shared" ref="E4:E33" si="0">ABS(D4)</f>
        <v>27</v>
      </c>
      <c r="F4" s="78">
        <f>_xlfn.RANK.AVG(E4,$E$4:$E$33,1)</f>
        <v>30</v>
      </c>
      <c r="G4" s="69" t="str">
        <f ca="1">_xlfn.FORMULATEXT(F4)</f>
        <v>=RANK.AVG(E4,$E$4:$E$33,1)</v>
      </c>
      <c r="H4" s="201"/>
      <c r="I4" s="201" t="s">
        <v>295</v>
      </c>
      <c r="J4" s="201"/>
      <c r="K4" s="201"/>
    </row>
    <row r="5" spans="1:13" ht="18">
      <c r="A5" s="68">
        <v>2</v>
      </c>
      <c r="B5" s="101">
        <v>34</v>
      </c>
      <c r="C5" s="101">
        <v>23</v>
      </c>
      <c r="D5" s="93">
        <f t="shared" ref="D5:D33" si="1">B5-C5-$J$7</f>
        <v>11</v>
      </c>
      <c r="E5" s="78">
        <f t="shared" si="0"/>
        <v>11</v>
      </c>
      <c r="F5" s="78">
        <f t="shared" ref="F5:F33" si="2">_xlfn.RANK.AVG(E5,$E$4:$E$33,1)</f>
        <v>15</v>
      </c>
      <c r="H5" s="201"/>
      <c r="I5" s="201" t="s">
        <v>296</v>
      </c>
      <c r="J5" s="201"/>
      <c r="K5" s="201"/>
    </row>
    <row r="6" spans="1:13">
      <c r="A6" s="68">
        <v>3</v>
      </c>
      <c r="B6" s="101">
        <v>30</v>
      </c>
      <c r="C6" s="101">
        <v>32</v>
      </c>
      <c r="D6" s="93">
        <f t="shared" si="1"/>
        <v>-2</v>
      </c>
      <c r="E6" s="78">
        <f t="shared" si="0"/>
        <v>2</v>
      </c>
      <c r="F6" s="78">
        <f t="shared" si="2"/>
        <v>3</v>
      </c>
      <c r="H6" s="201"/>
      <c r="I6" s="201" t="s">
        <v>29</v>
      </c>
      <c r="J6" s="201"/>
      <c r="K6" s="201"/>
    </row>
    <row r="7" spans="1:13">
      <c r="A7" s="68">
        <v>4</v>
      </c>
      <c r="B7" s="101">
        <v>46</v>
      </c>
      <c r="C7" s="101">
        <v>24</v>
      </c>
      <c r="D7" s="93">
        <f t="shared" si="1"/>
        <v>22</v>
      </c>
      <c r="E7" s="78">
        <f t="shared" si="0"/>
        <v>22</v>
      </c>
      <c r="F7" s="78">
        <f t="shared" si="2"/>
        <v>26.5</v>
      </c>
      <c r="H7" s="201"/>
      <c r="I7" s="223" t="s">
        <v>169</v>
      </c>
      <c r="J7" s="201">
        <v>0</v>
      </c>
      <c r="K7" s="201"/>
    </row>
    <row r="8" spans="1:13">
      <c r="A8" s="68">
        <v>5</v>
      </c>
      <c r="B8" s="101">
        <v>37</v>
      </c>
      <c r="C8" s="101">
        <v>23</v>
      </c>
      <c r="D8" s="93">
        <f t="shared" si="1"/>
        <v>14</v>
      </c>
      <c r="E8" s="78">
        <f t="shared" si="0"/>
        <v>14</v>
      </c>
      <c r="F8" s="78">
        <f t="shared" si="2"/>
        <v>20</v>
      </c>
      <c r="H8" s="201"/>
      <c r="I8" s="223" t="s">
        <v>44</v>
      </c>
      <c r="J8" s="224">
        <f>MEDIAN(D4:D33)</f>
        <v>11</v>
      </c>
      <c r="K8" s="225"/>
    </row>
    <row r="9" spans="1:13">
      <c r="A9" s="68">
        <v>6</v>
      </c>
      <c r="B9" s="101">
        <v>28</v>
      </c>
      <c r="C9" s="101">
        <v>21</v>
      </c>
      <c r="D9" s="93">
        <f t="shared" si="1"/>
        <v>7</v>
      </c>
      <c r="E9" s="78">
        <f t="shared" si="0"/>
        <v>7</v>
      </c>
      <c r="F9" s="78">
        <f t="shared" si="2"/>
        <v>9.5</v>
      </c>
      <c r="H9" s="204" t="s">
        <v>65</v>
      </c>
      <c r="I9" s="204"/>
      <c r="J9" s="204"/>
      <c r="K9" s="204"/>
    </row>
    <row r="10" spans="1:13">
      <c r="A10" s="68">
        <v>7</v>
      </c>
      <c r="B10" s="101">
        <v>48</v>
      </c>
      <c r="C10" s="101">
        <v>24</v>
      </c>
      <c r="D10" s="93">
        <f t="shared" si="1"/>
        <v>24</v>
      </c>
      <c r="E10" s="78">
        <f t="shared" si="0"/>
        <v>24</v>
      </c>
      <c r="F10" s="78">
        <f t="shared" si="2"/>
        <v>28.5</v>
      </c>
      <c r="H10" s="204"/>
      <c r="I10" s="204" t="s">
        <v>45</v>
      </c>
      <c r="J10" s="204"/>
      <c r="K10" s="204"/>
    </row>
    <row r="11" spans="1:13">
      <c r="A11" s="68">
        <v>8</v>
      </c>
      <c r="B11" s="101">
        <v>40</v>
      </c>
      <c r="C11" s="101">
        <v>29</v>
      </c>
      <c r="D11" s="93">
        <f t="shared" si="1"/>
        <v>11</v>
      </c>
      <c r="E11" s="78">
        <f t="shared" si="0"/>
        <v>11</v>
      </c>
      <c r="F11" s="78">
        <f t="shared" si="2"/>
        <v>15</v>
      </c>
      <c r="H11" s="206" t="s">
        <v>361</v>
      </c>
      <c r="I11" s="231"/>
      <c r="J11" s="206"/>
      <c r="K11" s="206"/>
    </row>
    <row r="12" spans="1:13">
      <c r="A12" s="68">
        <v>9</v>
      </c>
      <c r="B12" s="101">
        <v>42</v>
      </c>
      <c r="C12" s="101">
        <v>27</v>
      </c>
      <c r="D12" s="93">
        <f t="shared" si="1"/>
        <v>15</v>
      </c>
      <c r="E12" s="78">
        <f t="shared" si="0"/>
        <v>15</v>
      </c>
      <c r="F12" s="78">
        <f t="shared" si="2"/>
        <v>21</v>
      </c>
      <c r="H12" s="206" t="s">
        <v>362</v>
      </c>
      <c r="I12" s="232" t="s">
        <v>158</v>
      </c>
      <c r="J12" s="208">
        <v>0.05</v>
      </c>
      <c r="K12" s="206"/>
    </row>
    <row r="13" spans="1:13">
      <c r="A13" s="68">
        <v>10</v>
      </c>
      <c r="B13" s="101">
        <v>45</v>
      </c>
      <c r="C13" s="101">
        <v>27</v>
      </c>
      <c r="D13" s="93">
        <f t="shared" si="1"/>
        <v>18</v>
      </c>
      <c r="E13" s="78">
        <f t="shared" si="0"/>
        <v>18</v>
      </c>
      <c r="F13" s="78">
        <f t="shared" si="2"/>
        <v>25</v>
      </c>
      <c r="H13" s="209" t="s">
        <v>363</v>
      </c>
      <c r="I13" s="226"/>
      <c r="J13" s="209"/>
      <c r="K13" s="209"/>
      <c r="M13" s="65" t="s">
        <v>238</v>
      </c>
    </row>
    <row r="14" spans="1:13">
      <c r="A14" s="68">
        <v>11</v>
      </c>
      <c r="B14" s="101">
        <v>29</v>
      </c>
      <c r="C14" s="101">
        <v>23</v>
      </c>
      <c r="D14" s="93">
        <f t="shared" si="1"/>
        <v>6</v>
      </c>
      <c r="E14" s="78">
        <f t="shared" si="0"/>
        <v>6</v>
      </c>
      <c r="F14" s="78">
        <f t="shared" si="2"/>
        <v>8</v>
      </c>
      <c r="H14" s="209" t="s">
        <v>364</v>
      </c>
      <c r="I14" s="210" t="s">
        <v>24</v>
      </c>
      <c r="J14" s="227">
        <f>COUNT(A4:A33)</f>
        <v>30</v>
      </c>
      <c r="K14" s="212" t="str">
        <f t="shared" ref="K14:K22" ca="1" si="3">_xlfn.FORMULATEXT(J14)</f>
        <v>=COUNT(A4:A33)</v>
      </c>
    </row>
    <row r="15" spans="1:13" ht="18">
      <c r="A15" s="68">
        <v>12</v>
      </c>
      <c r="B15" s="101">
        <v>45</v>
      </c>
      <c r="C15" s="101">
        <v>29</v>
      </c>
      <c r="D15" s="93">
        <f t="shared" si="1"/>
        <v>16</v>
      </c>
      <c r="E15" s="78">
        <f t="shared" si="0"/>
        <v>16</v>
      </c>
      <c r="F15" s="78">
        <f t="shared" si="2"/>
        <v>22.5</v>
      </c>
      <c r="H15" s="209"/>
      <c r="I15" s="210" t="s">
        <v>290</v>
      </c>
      <c r="J15" s="213">
        <f>COUNTIF(E4:E33,"0")</f>
        <v>0</v>
      </c>
      <c r="K15" s="212" t="str">
        <f t="shared" ca="1" si="3"/>
        <v>=COUNTIF(E4:E33,"0")</v>
      </c>
    </row>
    <row r="16" spans="1:13">
      <c r="A16" s="68">
        <v>13</v>
      </c>
      <c r="B16" s="101">
        <v>32</v>
      </c>
      <c r="C16" s="101">
        <v>37</v>
      </c>
      <c r="D16" s="93">
        <f t="shared" si="1"/>
        <v>-5</v>
      </c>
      <c r="E16" s="78">
        <f t="shared" si="0"/>
        <v>5</v>
      </c>
      <c r="F16" s="78">
        <f t="shared" si="2"/>
        <v>6.5</v>
      </c>
      <c r="H16" s="209"/>
      <c r="I16" s="210" t="s">
        <v>46</v>
      </c>
      <c r="J16" s="227">
        <f>J14-J15</f>
        <v>30</v>
      </c>
      <c r="K16" s="212" t="str">
        <f t="shared" ca="1" si="3"/>
        <v>=J14-J15</v>
      </c>
    </row>
    <row r="17" spans="1:11">
      <c r="A17" s="68">
        <v>14</v>
      </c>
      <c r="B17" s="101">
        <v>44</v>
      </c>
      <c r="C17" s="101">
        <v>22</v>
      </c>
      <c r="D17" s="93">
        <f t="shared" si="1"/>
        <v>22</v>
      </c>
      <c r="E17" s="78">
        <f t="shared" si="0"/>
        <v>22</v>
      </c>
      <c r="F17" s="78">
        <f t="shared" si="2"/>
        <v>26.5</v>
      </c>
      <c r="H17" s="209"/>
      <c r="I17" s="210" t="s">
        <v>47</v>
      </c>
      <c r="J17" s="227">
        <f>SUMIF(D4:D33,"&lt;0",F4:F33)</f>
        <v>14</v>
      </c>
      <c r="K17" s="212" t="str">
        <f t="shared" ca="1" si="3"/>
        <v>=SUMIF(D4:D33,"&lt;0",F4:F33)</v>
      </c>
    </row>
    <row r="18" spans="1:11">
      <c r="A18" s="68">
        <v>15</v>
      </c>
      <c r="B18" s="101">
        <v>49</v>
      </c>
      <c r="C18" s="101">
        <v>33</v>
      </c>
      <c r="D18" s="93">
        <f t="shared" si="1"/>
        <v>16</v>
      </c>
      <c r="E18" s="78">
        <f t="shared" si="0"/>
        <v>16</v>
      </c>
      <c r="F18" s="78">
        <f t="shared" si="2"/>
        <v>22.5</v>
      </c>
      <c r="H18" s="209"/>
      <c r="I18" s="210" t="s">
        <v>48</v>
      </c>
      <c r="J18" s="227">
        <f>SUMIF(D4:D33,"&gt;0",F4:F33)</f>
        <v>451</v>
      </c>
      <c r="K18" s="212" t="str">
        <f t="shared" ca="1" si="3"/>
        <v>=SUMIF(D4:D33,"&gt;0",F4:F33)</v>
      </c>
    </row>
    <row r="19" spans="1:11">
      <c r="A19" s="68">
        <v>16</v>
      </c>
      <c r="B19" s="101">
        <v>28</v>
      </c>
      <c r="C19" s="101">
        <v>27</v>
      </c>
      <c r="D19" s="93">
        <f t="shared" si="1"/>
        <v>1</v>
      </c>
      <c r="E19" s="78">
        <f t="shared" si="0"/>
        <v>1</v>
      </c>
      <c r="F19" s="78">
        <f t="shared" si="2"/>
        <v>1.5</v>
      </c>
      <c r="H19" s="209"/>
      <c r="I19" s="210" t="s">
        <v>243</v>
      </c>
      <c r="J19" s="227">
        <f>MIN(J17,J18)</f>
        <v>14</v>
      </c>
      <c r="K19" s="212" t="str">
        <f t="shared" ca="1" si="3"/>
        <v>=MIN(J17,J18)</v>
      </c>
    </row>
    <row r="20" spans="1:11">
      <c r="A20" s="68">
        <v>17</v>
      </c>
      <c r="B20" s="101">
        <v>44</v>
      </c>
      <c r="C20" s="101">
        <v>35</v>
      </c>
      <c r="D20" s="93">
        <f t="shared" si="1"/>
        <v>9</v>
      </c>
      <c r="E20" s="78">
        <f t="shared" si="0"/>
        <v>9</v>
      </c>
      <c r="F20" s="78">
        <f t="shared" si="2"/>
        <v>11</v>
      </c>
      <c r="H20" s="209"/>
      <c r="I20" s="220" t="s">
        <v>373</v>
      </c>
      <c r="J20" s="227">
        <f>J16*(J16+1)/4</f>
        <v>232.5</v>
      </c>
      <c r="K20" s="212" t="str">
        <f t="shared" ca="1" si="3"/>
        <v>=J16*(J16+1)/4</v>
      </c>
    </row>
    <row r="21" spans="1:11">
      <c r="A21" s="68">
        <v>18</v>
      </c>
      <c r="B21" s="101">
        <v>39</v>
      </c>
      <c r="C21" s="101">
        <v>32</v>
      </c>
      <c r="D21" s="93">
        <f t="shared" si="1"/>
        <v>7</v>
      </c>
      <c r="E21" s="78">
        <f t="shared" si="0"/>
        <v>7</v>
      </c>
      <c r="F21" s="78">
        <f t="shared" si="2"/>
        <v>9.5</v>
      </c>
      <c r="H21" s="209"/>
      <c r="I21" s="220" t="s">
        <v>374</v>
      </c>
      <c r="J21" s="228">
        <f>SQRT((J16*(J16+1)*(2*J16+1)/24))</f>
        <v>48.618412150130943</v>
      </c>
      <c r="K21" s="212" t="str">
        <f t="shared" ca="1" si="3"/>
        <v>=SQRT((J16*(J16+1)*(2*J16+1)/24))</v>
      </c>
    </row>
    <row r="22" spans="1:11" ht="18">
      <c r="A22" s="68">
        <v>19</v>
      </c>
      <c r="B22" s="101">
        <v>47</v>
      </c>
      <c r="C22" s="101">
        <v>35</v>
      </c>
      <c r="D22" s="93">
        <f t="shared" si="1"/>
        <v>12</v>
      </c>
      <c r="E22" s="78">
        <f t="shared" si="0"/>
        <v>12</v>
      </c>
      <c r="F22" s="78">
        <f t="shared" si="2"/>
        <v>18</v>
      </c>
      <c r="H22" s="209"/>
      <c r="I22" s="210" t="s">
        <v>271</v>
      </c>
      <c r="J22" s="214">
        <f>(J19-J20)/J21</f>
        <v>-4.4941821490443621</v>
      </c>
      <c r="K22" s="212" t="str">
        <f t="shared" ca="1" si="3"/>
        <v>=(J19-J20)/J21</v>
      </c>
    </row>
    <row r="23" spans="1:11">
      <c r="A23" s="68">
        <v>20</v>
      </c>
      <c r="B23" s="101">
        <v>41</v>
      </c>
      <c r="C23" s="101">
        <v>24</v>
      </c>
      <c r="D23" s="93">
        <f t="shared" si="1"/>
        <v>17</v>
      </c>
      <c r="E23" s="78">
        <f t="shared" si="0"/>
        <v>17</v>
      </c>
      <c r="F23" s="78">
        <f t="shared" si="2"/>
        <v>24</v>
      </c>
      <c r="H23" s="209"/>
      <c r="I23" s="209"/>
      <c r="J23" s="209"/>
      <c r="K23" s="209"/>
    </row>
    <row r="24" spans="1:11" ht="18">
      <c r="A24" s="68">
        <v>21</v>
      </c>
      <c r="B24" s="101">
        <v>33</v>
      </c>
      <c r="C24" s="101">
        <v>37</v>
      </c>
      <c r="D24" s="93">
        <f t="shared" si="1"/>
        <v>-4</v>
      </c>
      <c r="E24" s="78">
        <f t="shared" si="0"/>
        <v>4</v>
      </c>
      <c r="F24" s="78">
        <f t="shared" si="2"/>
        <v>4.5</v>
      </c>
      <c r="G24" s="73"/>
      <c r="H24" s="209"/>
      <c r="I24" s="210" t="s">
        <v>297</v>
      </c>
      <c r="J24" s="214">
        <f>_xlfn.NORM.S.INV(J12)</f>
        <v>-1.6448536269514726</v>
      </c>
      <c r="K24" s="212" t="str">
        <f t="shared" ref="K24:K25" ca="1" si="4">_xlfn.FORMULATEXT(J24)</f>
        <v>=NORM.S.INV(J12)</v>
      </c>
    </row>
    <row r="25" spans="1:11">
      <c r="A25" s="68">
        <v>22</v>
      </c>
      <c r="B25" s="101">
        <v>38</v>
      </c>
      <c r="C25" s="101">
        <v>37</v>
      </c>
      <c r="D25" s="93">
        <f t="shared" si="1"/>
        <v>1</v>
      </c>
      <c r="E25" s="78">
        <f t="shared" si="0"/>
        <v>1</v>
      </c>
      <c r="F25" s="78">
        <f t="shared" si="2"/>
        <v>1.5</v>
      </c>
      <c r="G25" s="73"/>
      <c r="H25" s="209"/>
      <c r="I25" s="210" t="s">
        <v>70</v>
      </c>
      <c r="J25" s="233">
        <f>_xlfn.NORM.S.DIST(J22,TRUE)</f>
        <v>3.4918915737385439E-6</v>
      </c>
      <c r="K25" s="212" t="str">
        <f t="shared" ca="1" si="4"/>
        <v>=NORM.S.DIST(J22,TRUE)</v>
      </c>
    </row>
    <row r="26" spans="1:11">
      <c r="A26" s="68">
        <v>23</v>
      </c>
      <c r="B26" s="101">
        <v>35</v>
      </c>
      <c r="C26" s="101">
        <v>24</v>
      </c>
      <c r="D26" s="93">
        <f t="shared" si="1"/>
        <v>11</v>
      </c>
      <c r="E26" s="78">
        <f t="shared" si="0"/>
        <v>11</v>
      </c>
      <c r="F26" s="78">
        <f t="shared" si="2"/>
        <v>15</v>
      </c>
      <c r="G26" s="73"/>
      <c r="H26" s="216" t="s">
        <v>68</v>
      </c>
      <c r="I26" s="216"/>
      <c r="J26" s="216"/>
      <c r="K26" s="216"/>
    </row>
    <row r="27" spans="1:11" ht="18">
      <c r="A27" s="68">
        <v>24</v>
      </c>
      <c r="B27" s="101">
        <v>35</v>
      </c>
      <c r="C27" s="101">
        <v>23</v>
      </c>
      <c r="D27" s="93">
        <f t="shared" si="1"/>
        <v>12</v>
      </c>
      <c r="E27" s="78">
        <f t="shared" si="0"/>
        <v>12</v>
      </c>
      <c r="F27" s="78">
        <f t="shared" si="2"/>
        <v>18</v>
      </c>
      <c r="G27" s="73"/>
      <c r="H27" s="216"/>
      <c r="I27" s="216" t="s">
        <v>298</v>
      </c>
      <c r="J27" s="216"/>
      <c r="K27" s="216"/>
    </row>
    <row r="28" spans="1:11" ht="18">
      <c r="A28" s="68">
        <v>25</v>
      </c>
      <c r="B28" s="101">
        <v>47</v>
      </c>
      <c r="C28" s="101">
        <v>23</v>
      </c>
      <c r="D28" s="93">
        <f t="shared" si="1"/>
        <v>24</v>
      </c>
      <c r="E28" s="78">
        <f t="shared" si="0"/>
        <v>24</v>
      </c>
      <c r="F28" s="78">
        <f t="shared" si="2"/>
        <v>28.5</v>
      </c>
      <c r="H28" s="216"/>
      <c r="I28" s="216" t="s">
        <v>383</v>
      </c>
      <c r="J28" s="216"/>
      <c r="K28" s="216"/>
    </row>
    <row r="29" spans="1:11">
      <c r="A29" s="68">
        <v>26</v>
      </c>
      <c r="B29" s="101">
        <v>47</v>
      </c>
      <c r="C29" s="101">
        <v>37</v>
      </c>
      <c r="D29" s="93">
        <f t="shared" si="1"/>
        <v>10</v>
      </c>
      <c r="E29" s="78">
        <f t="shared" si="0"/>
        <v>10</v>
      </c>
      <c r="F29" s="78">
        <f t="shared" si="2"/>
        <v>12.5</v>
      </c>
    </row>
    <row r="30" spans="1:11">
      <c r="A30" s="68">
        <v>27</v>
      </c>
      <c r="B30" s="101">
        <v>48</v>
      </c>
      <c r="C30" s="101">
        <v>38</v>
      </c>
      <c r="D30" s="93">
        <f t="shared" si="1"/>
        <v>10</v>
      </c>
      <c r="E30" s="78">
        <f t="shared" si="0"/>
        <v>10</v>
      </c>
      <c r="F30" s="78">
        <f t="shared" si="2"/>
        <v>12.5</v>
      </c>
      <c r="H30" s="216"/>
      <c r="I30" s="229" t="s">
        <v>250</v>
      </c>
      <c r="J30" s="230">
        <f>J25*2</f>
        <v>6.9837831474770878E-6</v>
      </c>
      <c r="K30" s="218" t="str">
        <f t="shared" ref="K30" ca="1" si="5">_xlfn.FORMULATEXT(J30)</f>
        <v>=J25*2</v>
      </c>
    </row>
    <row r="31" spans="1:11">
      <c r="A31" s="68">
        <v>28</v>
      </c>
      <c r="B31" s="101">
        <v>35</v>
      </c>
      <c r="C31" s="101">
        <v>30</v>
      </c>
      <c r="D31" s="93">
        <f t="shared" si="1"/>
        <v>5</v>
      </c>
      <c r="E31" s="78">
        <f t="shared" si="0"/>
        <v>5</v>
      </c>
      <c r="F31" s="78">
        <f t="shared" si="2"/>
        <v>6.5</v>
      </c>
      <c r="J31" s="99"/>
    </row>
    <row r="32" spans="1:11">
      <c r="A32" s="68">
        <v>29</v>
      </c>
      <c r="B32" s="101">
        <v>41</v>
      </c>
      <c r="C32" s="101">
        <v>29</v>
      </c>
      <c r="D32" s="93">
        <f t="shared" si="1"/>
        <v>12</v>
      </c>
      <c r="E32" s="78">
        <f t="shared" si="0"/>
        <v>12</v>
      </c>
      <c r="F32" s="78">
        <f t="shared" si="2"/>
        <v>18</v>
      </c>
    </row>
    <row r="33" spans="1:6">
      <c r="A33" s="68">
        <v>30</v>
      </c>
      <c r="B33" s="101">
        <v>35</v>
      </c>
      <c r="C33" s="101">
        <v>31</v>
      </c>
      <c r="D33" s="93">
        <f t="shared" si="1"/>
        <v>4</v>
      </c>
      <c r="E33" s="78">
        <f t="shared" si="0"/>
        <v>4</v>
      </c>
      <c r="F33" s="78">
        <f t="shared" si="2"/>
        <v>4.5</v>
      </c>
    </row>
    <row r="34" spans="1:6">
      <c r="D34" s="102" t="str">
        <f ca="1">_xlfn.FORMULATEXT(D33)</f>
        <v>=B33-C33-$J$7</v>
      </c>
      <c r="E34" s="102" t="str">
        <f ca="1">_xlfn.FORMULATEXT(E33)</f>
        <v>=ABS(D33)</v>
      </c>
      <c r="F34" s="98"/>
    </row>
    <row r="35" spans="1:6">
      <c r="D35" s="98"/>
      <c r="F35" s="98"/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7"/>
  <sheetViews>
    <sheetView workbookViewId="0">
      <selection activeCell="A2" sqref="A2"/>
    </sheetView>
  </sheetViews>
  <sheetFormatPr defaultColWidth="9.140625" defaultRowHeight="15"/>
  <cols>
    <col min="1" max="16384" width="9.140625" style="66"/>
  </cols>
  <sheetData>
    <row r="1" spans="1:2">
      <c r="A1" s="65" t="s">
        <v>299</v>
      </c>
    </row>
    <row r="3" spans="1:2">
      <c r="B3" s="66" t="s">
        <v>170</v>
      </c>
    </row>
    <row r="5" spans="1:2">
      <c r="B5" s="66" t="s">
        <v>171</v>
      </c>
    </row>
    <row r="6" spans="1:2">
      <c r="B6" s="66" t="s">
        <v>172</v>
      </c>
    </row>
    <row r="7" spans="1:2">
      <c r="B7" s="66" t="s">
        <v>173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E34"/>
  <sheetViews>
    <sheetView workbookViewId="0">
      <selection activeCell="A2" sqref="A2"/>
    </sheetView>
  </sheetViews>
  <sheetFormatPr defaultColWidth="9.140625" defaultRowHeight="15"/>
  <cols>
    <col min="1" max="1" width="6.5703125" style="66" customWidth="1"/>
    <col min="2" max="2" width="21" style="66" customWidth="1"/>
    <col min="3" max="3" width="30.85546875" style="66" customWidth="1"/>
    <col min="4" max="4" width="17.85546875" style="66" customWidth="1"/>
    <col min="5" max="5" width="28.28515625" style="66" customWidth="1"/>
    <col min="6" max="16384" width="9.140625" style="66"/>
  </cols>
  <sheetData>
    <row r="1" spans="1:5">
      <c r="A1" s="65" t="s">
        <v>300</v>
      </c>
    </row>
    <row r="3" spans="1:5" ht="18">
      <c r="A3" s="103"/>
      <c r="B3" s="199" t="s">
        <v>371</v>
      </c>
      <c r="C3" s="200" t="s">
        <v>301</v>
      </c>
      <c r="D3" s="201"/>
      <c r="E3" s="201"/>
    </row>
    <row r="4" spans="1:5" ht="18">
      <c r="A4" s="73"/>
      <c r="B4" s="202"/>
      <c r="C4" s="200" t="s">
        <v>302</v>
      </c>
      <c r="D4" s="201"/>
      <c r="E4" s="201"/>
    </row>
    <row r="5" spans="1:5">
      <c r="A5" s="73"/>
      <c r="B5" s="203"/>
      <c r="C5" s="201" t="s">
        <v>29</v>
      </c>
      <c r="D5" s="201"/>
      <c r="E5" s="201"/>
    </row>
    <row r="6" spans="1:5">
      <c r="A6" s="73"/>
      <c r="B6" s="204" t="s">
        <v>375</v>
      </c>
      <c r="C6" s="204" t="s">
        <v>49</v>
      </c>
      <c r="D6" s="204"/>
      <c r="E6" s="204"/>
    </row>
    <row r="7" spans="1:5">
      <c r="A7" s="73"/>
      <c r="B7" s="205" t="s">
        <v>376</v>
      </c>
      <c r="C7" s="207" t="s">
        <v>176</v>
      </c>
      <c r="D7" s="208">
        <v>0.05</v>
      </c>
      <c r="E7" s="206"/>
    </row>
    <row r="8" spans="1:5">
      <c r="A8" s="73"/>
      <c r="B8" s="205" t="s">
        <v>362</v>
      </c>
      <c r="C8" s="206"/>
      <c r="D8" s="206"/>
      <c r="E8" s="206"/>
    </row>
    <row r="9" spans="1:5" ht="18">
      <c r="A9" s="73"/>
      <c r="B9" s="209" t="s">
        <v>363</v>
      </c>
      <c r="C9" s="210" t="s">
        <v>303</v>
      </c>
      <c r="D9" s="213">
        <v>8</v>
      </c>
      <c r="E9" s="221"/>
    </row>
    <row r="10" spans="1:5" ht="18">
      <c r="A10" s="73"/>
      <c r="B10" s="209" t="s">
        <v>364</v>
      </c>
      <c r="C10" s="210" t="s">
        <v>304</v>
      </c>
      <c r="D10" s="213">
        <v>9</v>
      </c>
      <c r="E10" s="221"/>
    </row>
    <row r="11" spans="1:5">
      <c r="A11" s="73"/>
      <c r="B11" s="209"/>
      <c r="C11" s="210" t="s">
        <v>177</v>
      </c>
      <c r="D11" s="213">
        <v>65</v>
      </c>
      <c r="E11" s="221"/>
    </row>
    <row r="12" spans="1:5" ht="18">
      <c r="A12" s="73"/>
      <c r="B12" s="209"/>
      <c r="C12" s="210" t="s">
        <v>305</v>
      </c>
      <c r="D12" s="213">
        <f>D9*D10+D9*(D9+1)/2-D11</f>
        <v>43</v>
      </c>
      <c r="E12" s="221" t="str">
        <f ca="1">_xlfn.FORMULATEXT(D12)</f>
        <v>=D9*D10+D9*(D9+1)/2-D11</v>
      </c>
    </row>
    <row r="13" spans="1:5" ht="18">
      <c r="A13" s="73"/>
      <c r="B13" s="209"/>
      <c r="C13" s="210" t="s">
        <v>306</v>
      </c>
      <c r="D13" s="213">
        <f>D9*D10-D12</f>
        <v>29</v>
      </c>
      <c r="E13" s="221" t="str">
        <f t="shared" ref="E13:E19" ca="1" si="0">_xlfn.FORMULATEXT(D13)</f>
        <v>=D9*D10-D12</v>
      </c>
    </row>
    <row r="14" spans="1:5">
      <c r="A14" s="73"/>
      <c r="B14" s="209"/>
      <c r="C14" s="210" t="s">
        <v>178</v>
      </c>
      <c r="D14" s="213">
        <f>MAX(D12,D13)</f>
        <v>43</v>
      </c>
      <c r="E14" s="221" t="str">
        <f t="shared" ca="1" si="0"/>
        <v>=MAX(D12,D13)</v>
      </c>
    </row>
    <row r="15" spans="1:5">
      <c r="A15" s="73"/>
      <c r="B15" s="209"/>
      <c r="C15" s="220" t="s">
        <v>373</v>
      </c>
      <c r="D15" s="213">
        <f>D9*D10/2</f>
        <v>36</v>
      </c>
      <c r="E15" s="221" t="str">
        <f t="shared" ca="1" si="0"/>
        <v>=D9*D10/2</v>
      </c>
    </row>
    <row r="16" spans="1:5">
      <c r="A16" s="73"/>
      <c r="B16" s="209"/>
      <c r="C16" s="220" t="s">
        <v>374</v>
      </c>
      <c r="D16" s="214">
        <f>SQRT(D9*D10*(D9+D10+1)/12)</f>
        <v>10.392304845413264</v>
      </c>
      <c r="E16" s="221" t="str">
        <f t="shared" ca="1" si="0"/>
        <v>=SQRT(D9*D10*(D9+D10+1)/12)</v>
      </c>
    </row>
    <row r="17" spans="1:5" ht="18">
      <c r="A17" s="73"/>
      <c r="B17" s="209"/>
      <c r="C17" s="210" t="s">
        <v>271</v>
      </c>
      <c r="D17" s="215">
        <f>(D14-D15)/D16</f>
        <v>0.67357531405456339</v>
      </c>
      <c r="E17" s="221" t="str">
        <f t="shared" ca="1" si="0"/>
        <v>=(D14-D15)/D16</v>
      </c>
    </row>
    <row r="18" spans="1:5" ht="18">
      <c r="A18" s="73"/>
      <c r="B18" s="209"/>
      <c r="C18" s="210" t="s">
        <v>291</v>
      </c>
      <c r="D18" s="215">
        <f>_xlfn.NORM.S.INV(1-D7)</f>
        <v>1.6448536269514715</v>
      </c>
      <c r="E18" s="221" t="str">
        <f t="shared" ca="1" si="0"/>
        <v>=NORM.S.INV(1-D7)</v>
      </c>
    </row>
    <row r="19" spans="1:5">
      <c r="A19" s="73"/>
      <c r="B19" s="209"/>
      <c r="C19" s="210" t="s">
        <v>39</v>
      </c>
      <c r="D19" s="222">
        <f>1-_xlfn.NORM.S.DIST(D17,TRUE)</f>
        <v>0.25029067597451604</v>
      </c>
      <c r="E19" s="221" t="str">
        <f t="shared" ca="1" si="0"/>
        <v>=1-NORM.S.DIST(D17,TRUE)</v>
      </c>
    </row>
    <row r="20" spans="1:5" ht="18">
      <c r="A20" s="73"/>
      <c r="B20" s="216" t="s">
        <v>68</v>
      </c>
      <c r="C20" s="216" t="s">
        <v>307</v>
      </c>
      <c r="D20" s="217"/>
      <c r="E20" s="218"/>
    </row>
    <row r="21" spans="1:5" ht="18">
      <c r="A21" s="73"/>
      <c r="B21" s="216"/>
      <c r="C21" s="216" t="s">
        <v>308</v>
      </c>
      <c r="D21" s="219"/>
      <c r="E21" s="216"/>
    </row>
    <row r="22" spans="1:5">
      <c r="A22" s="73"/>
      <c r="D22" s="104"/>
    </row>
    <row r="23" spans="1:5">
      <c r="A23" s="73"/>
      <c r="E23" s="69"/>
    </row>
    <row r="24" spans="1:5">
      <c r="A24" s="73"/>
    </row>
    <row r="25" spans="1:5">
      <c r="A25" s="73"/>
    </row>
    <row r="26" spans="1:5">
      <c r="A26" s="73"/>
    </row>
    <row r="27" spans="1:5">
      <c r="A27" s="73"/>
    </row>
    <row r="28" spans="1:5">
      <c r="A28" s="73"/>
    </row>
    <row r="29" spans="1:5">
      <c r="A29" s="73"/>
    </row>
    <row r="30" spans="1:5">
      <c r="A30" s="73"/>
    </row>
    <row r="31" spans="1:5">
      <c r="A31" s="73"/>
    </row>
    <row r="32" spans="1:5">
      <c r="A32" s="73"/>
    </row>
    <row r="33" spans="1:1">
      <c r="A33" s="73"/>
    </row>
    <row r="34" spans="1:1">
      <c r="A34" s="73"/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34"/>
  <sheetViews>
    <sheetView workbookViewId="0">
      <selection activeCell="A2" sqref="A2"/>
    </sheetView>
  </sheetViews>
  <sheetFormatPr defaultColWidth="9.140625" defaultRowHeight="15"/>
  <cols>
    <col min="1" max="1" width="14.140625" style="66" customWidth="1"/>
    <col min="2" max="2" width="13" style="66" customWidth="1"/>
    <col min="3" max="3" width="15.28515625" style="66" customWidth="1"/>
    <col min="4" max="4" width="28.140625" style="66" customWidth="1"/>
    <col min="5" max="5" width="21.42578125" style="66" customWidth="1"/>
    <col min="6" max="6" width="30.7109375" style="66" customWidth="1"/>
    <col min="7" max="7" width="10.42578125" style="66" customWidth="1"/>
    <col min="8" max="8" width="37.28515625" style="66" customWidth="1"/>
    <col min="9" max="16384" width="9.140625" style="66"/>
  </cols>
  <sheetData>
    <row r="1" spans="1:10">
      <c r="A1" s="65" t="s">
        <v>309</v>
      </c>
    </row>
    <row r="3" spans="1:10" ht="31.5">
      <c r="A3" s="105" t="s">
        <v>50</v>
      </c>
      <c r="B3" s="105" t="s">
        <v>51</v>
      </c>
      <c r="C3" s="78" t="s">
        <v>43</v>
      </c>
      <c r="E3" s="199" t="s">
        <v>371</v>
      </c>
      <c r="F3" s="200" t="s">
        <v>310</v>
      </c>
      <c r="G3" s="201"/>
      <c r="H3" s="201"/>
    </row>
    <row r="4" spans="1:10" ht="18">
      <c r="A4" s="78">
        <v>1</v>
      </c>
      <c r="B4" s="106">
        <v>10.199999999999999</v>
      </c>
      <c r="C4" s="78">
        <f>_xlfn.RANK.AVG(B4,$B$4:$B$26,1)</f>
        <v>1</v>
      </c>
      <c r="D4" s="69" t="str">
        <f ca="1">_xlfn.FORMULATEXT(C4)</f>
        <v>=RANK.AVG(B4,$B$4:$B$26,1)</v>
      </c>
      <c r="E4" s="202"/>
      <c r="F4" s="200" t="s">
        <v>311</v>
      </c>
      <c r="G4" s="201"/>
      <c r="H4" s="201"/>
    </row>
    <row r="5" spans="1:10">
      <c r="A5" s="78">
        <v>1</v>
      </c>
      <c r="B5" s="106">
        <v>10.97</v>
      </c>
      <c r="C5" s="78">
        <f t="shared" ref="C5:C26" si="0">_xlfn.RANK.AVG(B5,$B$4:$B$26,1)</f>
        <v>15</v>
      </c>
      <c r="E5" s="203"/>
      <c r="F5" s="201" t="s">
        <v>61</v>
      </c>
      <c r="G5" s="201"/>
      <c r="H5" s="201"/>
    </row>
    <row r="6" spans="1:10">
      <c r="A6" s="78">
        <v>1</v>
      </c>
      <c r="B6" s="106">
        <v>10.63</v>
      </c>
      <c r="C6" s="78">
        <f t="shared" si="0"/>
        <v>6</v>
      </c>
      <c r="E6" s="204" t="s">
        <v>174</v>
      </c>
      <c r="F6" s="204" t="s">
        <v>49</v>
      </c>
      <c r="G6" s="204"/>
      <c r="H6" s="204"/>
    </row>
    <row r="7" spans="1:10">
      <c r="A7" s="78">
        <v>1</v>
      </c>
      <c r="B7" s="106">
        <v>10.7</v>
      </c>
      <c r="C7" s="78">
        <f t="shared" si="0"/>
        <v>8</v>
      </c>
      <c r="E7" s="205" t="s">
        <v>175</v>
      </c>
      <c r="F7" s="206"/>
      <c r="G7" s="206"/>
      <c r="H7" s="206"/>
    </row>
    <row r="8" spans="1:10">
      <c r="A8" s="78">
        <v>1</v>
      </c>
      <c r="B8" s="106">
        <v>10.5</v>
      </c>
      <c r="C8" s="78">
        <f t="shared" si="0"/>
        <v>4</v>
      </c>
      <c r="E8" s="205"/>
      <c r="F8" s="207" t="s">
        <v>176</v>
      </c>
      <c r="G8" s="208">
        <v>0.05</v>
      </c>
      <c r="H8" s="206"/>
      <c r="J8" s="66" t="s">
        <v>238</v>
      </c>
    </row>
    <row r="9" spans="1:10">
      <c r="A9" s="78">
        <v>1</v>
      </c>
      <c r="B9" s="106">
        <v>10.3</v>
      </c>
      <c r="C9" s="78">
        <f t="shared" si="0"/>
        <v>3</v>
      </c>
      <c r="E9" s="209" t="s">
        <v>95</v>
      </c>
      <c r="F9" s="210" t="s">
        <v>52</v>
      </c>
      <c r="G9" s="211">
        <f>MEDIAN(B4:B13)</f>
        <v>10.64</v>
      </c>
      <c r="H9" s="212" t="str">
        <f t="shared" ref="H9:H27" ca="1" si="1">_xlfn.FORMULATEXT(G9)</f>
        <v>=MEDIAN(B4:B13)</v>
      </c>
    </row>
    <row r="10" spans="1:10">
      <c r="A10" s="78">
        <v>1</v>
      </c>
      <c r="B10" s="106">
        <v>10.65</v>
      </c>
      <c r="C10" s="78">
        <f t="shared" si="0"/>
        <v>7</v>
      </c>
      <c r="E10" s="209"/>
      <c r="F10" s="210" t="s">
        <v>53</v>
      </c>
      <c r="G10" s="211">
        <f>MEDIAN(B14:B26)</f>
        <v>11.05</v>
      </c>
      <c r="H10" s="212" t="str">
        <f t="shared" ca="1" si="1"/>
        <v>=MEDIAN(B14:B26)</v>
      </c>
    </row>
    <row r="11" spans="1:10" ht="18">
      <c r="A11" s="78">
        <v>1</v>
      </c>
      <c r="B11" s="106">
        <v>10.25</v>
      </c>
      <c r="C11" s="78">
        <f t="shared" si="0"/>
        <v>2</v>
      </c>
      <c r="E11" s="209"/>
      <c r="F11" s="210" t="s">
        <v>303</v>
      </c>
      <c r="G11" s="213">
        <f>COUNTIF(A4:A26,"=1")</f>
        <v>10</v>
      </c>
      <c r="H11" s="212" t="str">
        <f t="shared" ca="1" si="1"/>
        <v>=COUNTIF(A4:A26,"=1")</v>
      </c>
    </row>
    <row r="12" spans="1:10" ht="18">
      <c r="A12" s="78">
        <v>1</v>
      </c>
      <c r="B12" s="106">
        <v>10.75</v>
      </c>
      <c r="C12" s="78">
        <f t="shared" si="0"/>
        <v>9</v>
      </c>
      <c r="E12" s="209"/>
      <c r="F12" s="210" t="s">
        <v>304</v>
      </c>
      <c r="G12" s="213">
        <f>COUNTIF(A4:A26,"=2")</f>
        <v>13</v>
      </c>
      <c r="H12" s="212" t="str">
        <f t="shared" ca="1" si="1"/>
        <v>=COUNTIF(A4:A26,"=2")</v>
      </c>
    </row>
    <row r="13" spans="1:10" ht="18">
      <c r="A13" s="78">
        <v>1</v>
      </c>
      <c r="B13" s="106">
        <v>11</v>
      </c>
      <c r="C13" s="78">
        <f t="shared" si="0"/>
        <v>16</v>
      </c>
      <c r="E13" s="209"/>
      <c r="F13" s="210" t="s">
        <v>312</v>
      </c>
      <c r="G13" s="213">
        <f>SUMIF(A4:A26,"=1",C4:C26)</f>
        <v>71</v>
      </c>
      <c r="H13" s="212" t="str">
        <f t="shared" ca="1" si="1"/>
        <v>=SUMIF(A4:A26,"=1",C4:C26)</v>
      </c>
    </row>
    <row r="14" spans="1:10" ht="18">
      <c r="A14" s="78">
        <v>2</v>
      </c>
      <c r="B14" s="106">
        <v>10.6</v>
      </c>
      <c r="C14" s="78">
        <f t="shared" si="0"/>
        <v>5</v>
      </c>
      <c r="E14" s="209"/>
      <c r="F14" s="210" t="s">
        <v>313</v>
      </c>
      <c r="G14" s="213">
        <f>SUMIF(A4:A26,"=2",C4:C26)</f>
        <v>205</v>
      </c>
      <c r="H14" s="212" t="str">
        <f t="shared" ca="1" si="1"/>
        <v>=SUMIF(A4:A26,"=2",C4:C26)</v>
      </c>
    </row>
    <row r="15" spans="1:10" ht="18">
      <c r="A15" s="78">
        <v>2</v>
      </c>
      <c r="B15" s="106">
        <v>10.8</v>
      </c>
      <c r="C15" s="78">
        <f t="shared" si="0"/>
        <v>11</v>
      </c>
      <c r="E15" s="209"/>
      <c r="F15" s="210" t="s">
        <v>314</v>
      </c>
      <c r="G15" s="210">
        <f>G11*G12+G11*(G11+1)/2</f>
        <v>185</v>
      </c>
      <c r="H15" s="212" t="str">
        <f t="shared" ca="1" si="1"/>
        <v>=G11*G12+G11*(G11+1)/2</v>
      </c>
    </row>
    <row r="16" spans="1:10" ht="18">
      <c r="A16" s="78">
        <v>2</v>
      </c>
      <c r="B16" s="106">
        <v>11.4</v>
      </c>
      <c r="C16" s="78">
        <f t="shared" si="0"/>
        <v>23</v>
      </c>
      <c r="E16" s="209"/>
      <c r="F16" s="210" t="s">
        <v>315</v>
      </c>
      <c r="G16" s="210">
        <f>G11*G12+G12*(G12+1)/2</f>
        <v>221</v>
      </c>
      <c r="H16" s="212" t="str">
        <f t="shared" ca="1" si="1"/>
        <v>=G11*G12+G12*(G12+1)/2</v>
      </c>
    </row>
    <row r="17" spans="1:8" ht="18">
      <c r="A17" s="78">
        <v>2</v>
      </c>
      <c r="B17" s="106">
        <v>10.9</v>
      </c>
      <c r="C17" s="78">
        <f t="shared" si="0"/>
        <v>14</v>
      </c>
      <c r="E17" s="209"/>
      <c r="F17" s="210" t="s">
        <v>305</v>
      </c>
      <c r="G17" s="213">
        <f>G15-G13</f>
        <v>114</v>
      </c>
      <c r="H17" s="212" t="str">
        <f t="shared" ca="1" si="1"/>
        <v>=G15-G13</v>
      </c>
    </row>
    <row r="18" spans="1:8" ht="18">
      <c r="A18" s="78">
        <v>2</v>
      </c>
      <c r="B18" s="106">
        <v>11.1</v>
      </c>
      <c r="C18" s="78">
        <f t="shared" si="0"/>
        <v>18</v>
      </c>
      <c r="E18" s="209"/>
      <c r="F18" s="210" t="s">
        <v>306</v>
      </c>
      <c r="G18" s="213">
        <f>G16-G14</f>
        <v>16</v>
      </c>
      <c r="H18" s="212" t="str">
        <f t="shared" ca="1" si="1"/>
        <v>=G16-G14</v>
      </c>
    </row>
    <row r="19" spans="1:8" ht="18">
      <c r="A19" s="78">
        <v>2</v>
      </c>
      <c r="B19" s="106">
        <v>11.2</v>
      </c>
      <c r="C19" s="78">
        <f t="shared" si="0"/>
        <v>22</v>
      </c>
      <c r="E19" s="209"/>
      <c r="F19" s="210" t="s">
        <v>316</v>
      </c>
      <c r="G19" s="213">
        <f>G17+G18</f>
        <v>130</v>
      </c>
      <c r="H19" s="212" t="str">
        <f t="shared" ca="1" si="1"/>
        <v>=G17+G18</v>
      </c>
    </row>
    <row r="20" spans="1:8" ht="18">
      <c r="A20" s="78">
        <v>2</v>
      </c>
      <c r="B20" s="106">
        <v>10.89</v>
      </c>
      <c r="C20" s="78">
        <f t="shared" si="0"/>
        <v>13</v>
      </c>
      <c r="E20" s="209"/>
      <c r="F20" s="210" t="s">
        <v>317</v>
      </c>
      <c r="G20" s="213">
        <f>G11*G12</f>
        <v>130</v>
      </c>
      <c r="H20" s="212" t="str">
        <f t="shared" ca="1" si="1"/>
        <v>=G11*G12</v>
      </c>
    </row>
    <row r="21" spans="1:8" ht="18">
      <c r="A21" s="78">
        <v>2</v>
      </c>
      <c r="B21" s="106">
        <v>10.78</v>
      </c>
      <c r="C21" s="78">
        <f t="shared" si="0"/>
        <v>10</v>
      </c>
      <c r="E21" s="209"/>
      <c r="F21" s="210" t="s">
        <v>318</v>
      </c>
      <c r="G21" s="213">
        <f>MIN(G17,G18)</f>
        <v>16</v>
      </c>
      <c r="H21" s="212" t="str">
        <f t="shared" ca="1" si="1"/>
        <v>=MIN(G17,G18)</v>
      </c>
    </row>
    <row r="22" spans="1:8">
      <c r="A22" s="78">
        <v>2</v>
      </c>
      <c r="B22" s="106">
        <v>11.05</v>
      </c>
      <c r="C22" s="78">
        <f t="shared" si="0"/>
        <v>17</v>
      </c>
      <c r="E22" s="209"/>
      <c r="F22" s="220" t="s">
        <v>373</v>
      </c>
      <c r="G22" s="213">
        <f>G11*G12/2</f>
        <v>65</v>
      </c>
      <c r="H22" s="212" t="str">
        <f t="shared" ca="1" si="1"/>
        <v>=G11*G12/2</v>
      </c>
    </row>
    <row r="23" spans="1:8">
      <c r="A23" s="78">
        <v>2</v>
      </c>
      <c r="B23" s="106">
        <v>11.15</v>
      </c>
      <c r="C23" s="78">
        <f t="shared" si="0"/>
        <v>19</v>
      </c>
      <c r="E23" s="209"/>
      <c r="F23" s="220" t="s">
        <v>374</v>
      </c>
      <c r="G23" s="214">
        <f>SQRT(G11*G12*(G11+G12+1)/12)</f>
        <v>16.124515496597098</v>
      </c>
      <c r="H23" s="212" t="str">
        <f t="shared" ca="1" si="1"/>
        <v>=SQRT(G11*G12*(G11+G12+1)/12)</v>
      </c>
    </row>
    <row r="24" spans="1:8" ht="18">
      <c r="A24" s="78">
        <v>2</v>
      </c>
      <c r="B24" s="106">
        <v>10.85</v>
      </c>
      <c r="C24" s="78">
        <f t="shared" si="0"/>
        <v>12</v>
      </c>
      <c r="E24" s="209"/>
      <c r="F24" s="210" t="s">
        <v>271</v>
      </c>
      <c r="G24" s="215">
        <f>(G21-G22)/G23</f>
        <v>-3.0388509974356075</v>
      </c>
      <c r="H24" s="212" t="str">
        <f t="shared" ca="1" si="1"/>
        <v>=(G21-G22)/G23</v>
      </c>
    </row>
    <row r="25" spans="1:8" ht="18">
      <c r="A25" s="78">
        <v>2</v>
      </c>
      <c r="B25" s="106">
        <v>11.16</v>
      </c>
      <c r="C25" s="78">
        <f t="shared" si="0"/>
        <v>20</v>
      </c>
      <c r="E25" s="209"/>
      <c r="F25" s="210" t="s">
        <v>319</v>
      </c>
      <c r="G25" s="215">
        <f>_xlfn.NORM.S.INV(G8/2)</f>
        <v>-1.9599639845400538</v>
      </c>
      <c r="H25" s="212" t="str">
        <f t="shared" ca="1" si="1"/>
        <v>=NORM.S.INV(G8/2)</v>
      </c>
    </row>
    <row r="26" spans="1:8" ht="18">
      <c r="A26" s="78">
        <v>2</v>
      </c>
      <c r="B26" s="106">
        <v>11.18</v>
      </c>
      <c r="C26" s="78">
        <f t="shared" si="0"/>
        <v>21</v>
      </c>
      <c r="E26" s="209"/>
      <c r="F26" s="210" t="s">
        <v>372</v>
      </c>
      <c r="G26" s="214">
        <f>_xlfn.NORM.S.INV(1-G8/2)</f>
        <v>1.9599639845400536</v>
      </c>
      <c r="H26" s="212" t="str">
        <f t="shared" ca="1" si="1"/>
        <v>=NORM.S.INV(1-G8/2)</v>
      </c>
    </row>
    <row r="27" spans="1:8">
      <c r="B27" s="95"/>
      <c r="C27" s="73"/>
      <c r="E27" s="209"/>
      <c r="F27" s="210" t="s">
        <v>179</v>
      </c>
      <c r="G27" s="214">
        <f>2*(1-_xlfn.NORM.S.DIST(ABS(G24),TRUE))</f>
        <v>2.3748228039270902E-3</v>
      </c>
      <c r="H27" s="212" t="str">
        <f t="shared" ca="1" si="1"/>
        <v>=2*(1-NORM.S.DIST(ABS(G24),TRUE))</v>
      </c>
    </row>
    <row r="28" spans="1:8">
      <c r="B28" s="95"/>
      <c r="C28" s="73"/>
      <c r="E28" s="216" t="s">
        <v>98</v>
      </c>
      <c r="F28" s="216"/>
      <c r="G28" s="216"/>
      <c r="H28" s="216"/>
    </row>
    <row r="29" spans="1:8" ht="18">
      <c r="B29" s="95"/>
      <c r="C29" s="73"/>
      <c r="E29" s="216"/>
      <c r="F29" s="216" t="s">
        <v>320</v>
      </c>
      <c r="G29" s="217"/>
      <c r="H29" s="218"/>
    </row>
    <row r="30" spans="1:8" ht="18">
      <c r="B30" s="95"/>
      <c r="C30" s="73"/>
      <c r="E30" s="216"/>
      <c r="F30" s="216" t="s">
        <v>321</v>
      </c>
      <c r="G30" s="219"/>
      <c r="H30" s="216"/>
    </row>
    <row r="31" spans="1:8">
      <c r="B31" s="73"/>
      <c r="C31" s="73"/>
      <c r="E31" s="216"/>
      <c r="F31" s="216" t="s">
        <v>180</v>
      </c>
      <c r="G31" s="217"/>
      <c r="H31" s="216"/>
    </row>
    <row r="32" spans="1:8">
      <c r="B32" s="73"/>
      <c r="C32" s="73"/>
    </row>
    <row r="33" spans="1:3">
      <c r="B33" s="73"/>
      <c r="C33" s="73"/>
    </row>
    <row r="34" spans="1:3">
      <c r="A34" s="73"/>
      <c r="B34" s="73"/>
      <c r="C34" s="73"/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/>
  <ignoredErrors>
    <ignoredError sqref="G9:G1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8"/>
  <sheetViews>
    <sheetView workbookViewId="0">
      <selection activeCell="A2" sqref="A2"/>
    </sheetView>
  </sheetViews>
  <sheetFormatPr defaultColWidth="9.140625" defaultRowHeight="15"/>
  <cols>
    <col min="1" max="1" width="4.5703125" style="11" customWidth="1"/>
    <col min="2" max="2" width="11.85546875" style="11" customWidth="1"/>
    <col min="3" max="3" width="14.140625" style="11" customWidth="1"/>
    <col min="4" max="4" width="21.5703125" style="11" customWidth="1"/>
    <col min="5" max="5" width="11.85546875" style="11" customWidth="1"/>
    <col min="6" max="6" width="16.85546875" style="11" customWidth="1"/>
    <col min="7" max="7" width="3.7109375" style="11" customWidth="1"/>
    <col min="8" max="8" width="23.28515625" style="11" customWidth="1"/>
    <col min="9" max="9" width="22.5703125" style="11" customWidth="1"/>
    <col min="10" max="10" width="16.28515625" style="11" customWidth="1"/>
    <col min="11" max="11" width="25.85546875" style="11" customWidth="1"/>
    <col min="12" max="16384" width="9.140625" style="11"/>
  </cols>
  <sheetData>
    <row r="1" spans="1:11">
      <c r="A1" s="10" t="s">
        <v>252</v>
      </c>
    </row>
    <row r="3" spans="1:11">
      <c r="C3" s="19" t="s">
        <v>85</v>
      </c>
      <c r="D3" s="19" t="s">
        <v>86</v>
      </c>
      <c r="E3" s="19" t="s">
        <v>406</v>
      </c>
      <c r="F3" s="20" t="s">
        <v>1</v>
      </c>
      <c r="H3" s="170" t="s">
        <v>87</v>
      </c>
      <c r="I3" s="170"/>
      <c r="J3" s="170"/>
      <c r="K3" s="170"/>
    </row>
    <row r="4" spans="1:11" ht="18">
      <c r="B4" s="269" t="s">
        <v>88</v>
      </c>
      <c r="C4" s="270">
        <v>81</v>
      </c>
      <c r="D4" s="270">
        <v>38</v>
      </c>
      <c r="E4" s="270">
        <v>16</v>
      </c>
      <c r="F4" s="20">
        <f>SUM(C4:E4)</f>
        <v>135</v>
      </c>
      <c r="H4" s="170"/>
      <c r="I4" s="170" t="s">
        <v>258</v>
      </c>
      <c r="J4" s="170"/>
      <c r="K4" s="170"/>
    </row>
    <row r="5" spans="1:11" ht="18">
      <c r="B5" s="271" t="s">
        <v>89</v>
      </c>
      <c r="C5" s="261">
        <v>46</v>
      </c>
      <c r="D5" s="261">
        <v>42</v>
      </c>
      <c r="E5" s="261">
        <v>33</v>
      </c>
      <c r="F5" s="20">
        <f>SUM(C5:E5)</f>
        <v>121</v>
      </c>
      <c r="H5" s="170"/>
      <c r="I5" s="170" t="s">
        <v>259</v>
      </c>
      <c r="J5" s="170"/>
      <c r="K5" s="170"/>
    </row>
    <row r="6" spans="1:11">
      <c r="B6" s="272" t="s">
        <v>90</v>
      </c>
      <c r="C6" s="273">
        <v>22</v>
      </c>
      <c r="D6" s="273">
        <v>26</v>
      </c>
      <c r="E6" s="273">
        <v>29</v>
      </c>
      <c r="F6" s="20">
        <f>SUM(C6:E6)</f>
        <v>77</v>
      </c>
      <c r="H6" s="170"/>
      <c r="I6" s="170"/>
      <c r="J6" s="170"/>
      <c r="K6" s="170"/>
    </row>
    <row r="7" spans="1:11">
      <c r="B7" s="14" t="s">
        <v>1</v>
      </c>
      <c r="C7" s="20">
        <f>SUM(C4:C6)</f>
        <v>149</v>
      </c>
      <c r="D7" s="20">
        <f>SUM(D4:D6)</f>
        <v>106</v>
      </c>
      <c r="E7" s="20">
        <f>SUM(E4:E6)</f>
        <v>78</v>
      </c>
      <c r="F7" s="20">
        <f>SUM(F4:F6)</f>
        <v>333</v>
      </c>
      <c r="H7" s="171" t="s">
        <v>91</v>
      </c>
      <c r="I7" s="171"/>
      <c r="J7" s="171"/>
      <c r="K7" s="171"/>
    </row>
    <row r="8" spans="1:11">
      <c r="C8" s="24"/>
      <c r="D8" s="24"/>
      <c r="E8" s="24"/>
      <c r="F8" s="24"/>
      <c r="H8" s="171"/>
      <c r="I8" s="171" t="s">
        <v>4</v>
      </c>
      <c r="J8" s="171"/>
      <c r="K8" s="171"/>
    </row>
    <row r="9" spans="1:11">
      <c r="H9" s="171"/>
      <c r="I9" s="171" t="s">
        <v>187</v>
      </c>
      <c r="J9" s="171"/>
      <c r="K9" s="171"/>
    </row>
    <row r="10" spans="1:11">
      <c r="C10" s="15"/>
      <c r="D10" s="15"/>
      <c r="E10" s="15"/>
      <c r="F10" s="15"/>
      <c r="H10" s="171"/>
      <c r="I10" s="171"/>
      <c r="J10" s="171"/>
      <c r="K10" s="171"/>
    </row>
    <row r="11" spans="1:11">
      <c r="H11" s="173" t="s">
        <v>92</v>
      </c>
      <c r="I11" s="173"/>
      <c r="J11" s="173"/>
      <c r="K11" s="173"/>
    </row>
    <row r="12" spans="1:11">
      <c r="B12" s="11" t="s">
        <v>93</v>
      </c>
      <c r="H12" s="173"/>
      <c r="I12" s="174" t="s">
        <v>94</v>
      </c>
      <c r="J12" s="175">
        <v>0.05</v>
      </c>
      <c r="K12" s="173"/>
    </row>
    <row r="13" spans="1:11">
      <c r="H13" s="173"/>
      <c r="I13" s="173"/>
      <c r="J13" s="173"/>
      <c r="K13" s="173"/>
    </row>
    <row r="14" spans="1:11" ht="17.25">
      <c r="C14" s="19" t="s">
        <v>2</v>
      </c>
      <c r="D14" s="19" t="s">
        <v>5</v>
      </c>
      <c r="E14" s="19" t="s">
        <v>260</v>
      </c>
      <c r="H14" s="177" t="s">
        <v>95</v>
      </c>
      <c r="I14" s="177"/>
      <c r="J14" s="177"/>
      <c r="K14" s="177"/>
    </row>
    <row r="15" spans="1:11" ht="18.75">
      <c r="B15" s="269" t="s">
        <v>88</v>
      </c>
      <c r="C15" s="270">
        <f>C4</f>
        <v>81</v>
      </c>
      <c r="D15" s="26">
        <f>F4*C7/F7</f>
        <v>60.405405405405403</v>
      </c>
      <c r="E15" s="26">
        <f t="shared" ref="E15:E23" si="0">(C15-D15)^2/D15</f>
        <v>7.021512787955742</v>
      </c>
      <c r="F15" s="15"/>
      <c r="H15" s="177"/>
      <c r="I15" s="288" t="s">
        <v>389</v>
      </c>
      <c r="J15" s="179">
        <f>SUM(E15:E23)</f>
        <v>28.875808311600963</v>
      </c>
      <c r="K15" s="195" t="str">
        <f ca="1">_xlfn.FORMULATEXT(J15)</f>
        <v>=SUM(E15:E23)</v>
      </c>
    </row>
    <row r="16" spans="1:11">
      <c r="B16" s="13"/>
      <c r="C16" s="270">
        <f>D4</f>
        <v>38</v>
      </c>
      <c r="D16" s="26">
        <f>F4*D7/F7</f>
        <v>42.972972972972975</v>
      </c>
      <c r="E16" s="26">
        <f t="shared" si="0"/>
        <v>0.57548869624341381</v>
      </c>
      <c r="H16" s="177"/>
      <c r="I16" s="177"/>
      <c r="J16" s="177"/>
      <c r="K16" s="177"/>
    </row>
    <row r="17" spans="2:11">
      <c r="B17" s="13"/>
      <c r="C17" s="270">
        <f>E4</f>
        <v>16</v>
      </c>
      <c r="D17" s="26">
        <f>F4*E7/F7</f>
        <v>31.621621621621621</v>
      </c>
      <c r="E17" s="26">
        <f t="shared" si="0"/>
        <v>7.7173481173481173</v>
      </c>
      <c r="H17" s="177"/>
      <c r="I17" s="182" t="s">
        <v>6</v>
      </c>
      <c r="J17" s="177"/>
      <c r="K17" s="177"/>
    </row>
    <row r="18" spans="2:11">
      <c r="B18" s="271" t="s">
        <v>97</v>
      </c>
      <c r="C18" s="261">
        <f>C5</f>
        <v>46</v>
      </c>
      <c r="D18" s="26">
        <f>F5*C7/F7</f>
        <v>54.141141141141141</v>
      </c>
      <c r="E18" s="26">
        <f t="shared" si="0"/>
        <v>1.2241740325938006</v>
      </c>
      <c r="H18" s="177"/>
      <c r="I18" s="178" t="s">
        <v>7</v>
      </c>
      <c r="J18" s="181">
        <f>COUNT(C4:C6)</f>
        <v>3</v>
      </c>
      <c r="K18" s="195" t="str">
        <f t="shared" ref="K18:K22" ca="1" si="1">_xlfn.FORMULATEXT(J18)</f>
        <v>=COUNT(C4:C6)</v>
      </c>
    </row>
    <row r="19" spans="2:11">
      <c r="B19" s="13"/>
      <c r="C19" s="261">
        <f>D5</f>
        <v>42</v>
      </c>
      <c r="D19" s="26">
        <f>F5*D7/F7</f>
        <v>38.516516516516518</v>
      </c>
      <c r="E19" s="26">
        <f t="shared" si="0"/>
        <v>0.31505074386721021</v>
      </c>
      <c r="H19" s="177"/>
      <c r="I19" s="178" t="s">
        <v>8</v>
      </c>
      <c r="J19" s="181">
        <f>COUNT(C4:E4)</f>
        <v>3</v>
      </c>
      <c r="K19" s="195" t="str">
        <f t="shared" ca="1" si="1"/>
        <v>=COUNT(C4:E4)</v>
      </c>
    </row>
    <row r="20" spans="2:11">
      <c r="B20" s="13"/>
      <c r="C20" s="261">
        <f>E5</f>
        <v>33</v>
      </c>
      <c r="D20" s="26">
        <f>F5*E7/F7</f>
        <v>28.342342342342342</v>
      </c>
      <c r="E20" s="26">
        <f t="shared" si="0"/>
        <v>0.76541926541926575</v>
      </c>
      <c r="H20" s="177"/>
      <c r="I20" s="178" t="s">
        <v>9</v>
      </c>
      <c r="J20" s="181">
        <f>(J18-1)*(J19-1)</f>
        <v>4</v>
      </c>
      <c r="K20" s="195" t="str">
        <f t="shared" ca="1" si="1"/>
        <v>=(J18-1)*(J19-1)</v>
      </c>
    </row>
    <row r="21" spans="2:11" ht="18.75">
      <c r="B21" s="272" t="s">
        <v>90</v>
      </c>
      <c r="C21" s="273">
        <f>C6</f>
        <v>22</v>
      </c>
      <c r="D21" s="26">
        <f>F6*C7/F7</f>
        <v>34.453453453453456</v>
      </c>
      <c r="E21" s="26">
        <f t="shared" si="0"/>
        <v>4.5013920919961201</v>
      </c>
      <c r="H21" s="177"/>
      <c r="I21" s="178" t="s">
        <v>390</v>
      </c>
      <c r="J21" s="181">
        <f>_xlfn.CHISQ.INV.RT(J12,J20)</f>
        <v>9.4877290367811575</v>
      </c>
      <c r="K21" s="195" t="str">
        <f t="shared" ca="1" si="1"/>
        <v>=CHISQ.INV.RT(J12,J20)</v>
      </c>
    </row>
    <row r="22" spans="2:11">
      <c r="B22" s="13"/>
      <c r="C22" s="273">
        <f>D6</f>
        <v>26</v>
      </c>
      <c r="D22" s="26">
        <f>F6*D7/F7</f>
        <v>24.51051051051051</v>
      </c>
      <c r="E22" s="26">
        <f t="shared" si="0"/>
        <v>9.0515411270128285E-2</v>
      </c>
      <c r="H22" s="177"/>
      <c r="I22" s="178" t="s">
        <v>70</v>
      </c>
      <c r="J22" s="196">
        <f>_xlfn.CHISQ.DIST.RT(J15,J20)</f>
        <v>8.2848802450313744E-6</v>
      </c>
      <c r="K22" s="195" t="str">
        <f t="shared" ca="1" si="1"/>
        <v>=CHISQ.DIST.RT(J15,J20)</v>
      </c>
    </row>
    <row r="23" spans="2:11">
      <c r="B23" s="13"/>
      <c r="C23" s="273">
        <f>E6</f>
        <v>29</v>
      </c>
      <c r="D23" s="26">
        <f>F6*E7/F7</f>
        <v>18.036036036036037</v>
      </c>
      <c r="E23" s="26">
        <f t="shared" si="0"/>
        <v>6.664907164907163</v>
      </c>
      <c r="H23" s="177"/>
      <c r="I23" s="177"/>
      <c r="J23" s="177"/>
      <c r="K23" s="177"/>
    </row>
    <row r="24" spans="2:11">
      <c r="B24" s="24"/>
      <c r="C24" s="28"/>
      <c r="D24" s="28" t="str">
        <f ca="1">_xlfn.FORMULATEXT(D23)</f>
        <v>=F6*E7/F7</v>
      </c>
      <c r="E24" s="198" t="str">
        <f ca="1">_xlfn.FORMULATEXT(E23)</f>
        <v>=(C23-D23)^2/D23</v>
      </c>
      <c r="H24" s="197" t="s">
        <v>98</v>
      </c>
      <c r="I24" s="186"/>
      <c r="J24" s="186"/>
      <c r="K24" s="186"/>
    </row>
    <row r="25" spans="2:11" ht="18.75">
      <c r="H25" s="186"/>
      <c r="I25" s="186" t="s">
        <v>391</v>
      </c>
      <c r="J25" s="186"/>
      <c r="K25" s="186"/>
    </row>
    <row r="26" spans="2:11">
      <c r="H26" s="186"/>
      <c r="I26" s="186" t="s">
        <v>99</v>
      </c>
      <c r="J26" s="186"/>
      <c r="K26" s="186"/>
    </row>
    <row r="28" spans="2:11">
      <c r="G28" s="24"/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72" orientation="landscape" horizontalDpi="0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28"/>
  <sheetViews>
    <sheetView workbookViewId="0">
      <selection activeCell="A2" sqref="A2"/>
    </sheetView>
  </sheetViews>
  <sheetFormatPr defaultColWidth="9.140625" defaultRowHeight="15"/>
  <cols>
    <col min="1" max="1" width="5.7109375" style="11" customWidth="1"/>
    <col min="2" max="2" width="17.140625" style="11" customWidth="1"/>
    <col min="3" max="3" width="14.140625" style="11" customWidth="1"/>
    <col min="4" max="4" width="21.5703125" style="11" customWidth="1"/>
    <col min="5" max="5" width="11.85546875" style="11" customWidth="1"/>
    <col min="6" max="6" width="18.28515625" style="11" customWidth="1"/>
    <col min="7" max="7" width="4.140625" style="11" customWidth="1"/>
    <col min="8" max="8" width="3.7109375" style="11" customWidth="1"/>
    <col min="9" max="9" width="22.42578125" style="11" customWidth="1"/>
    <col min="10" max="10" width="22.5703125" style="11" customWidth="1"/>
    <col min="11" max="11" width="16.28515625" style="11" customWidth="1"/>
    <col min="12" max="12" width="25.85546875" style="11" customWidth="1"/>
    <col min="13" max="16384" width="9.140625" style="11"/>
  </cols>
  <sheetData>
    <row r="1" spans="1:12">
      <c r="A1" s="10" t="s">
        <v>322</v>
      </c>
      <c r="G1" s="18"/>
    </row>
    <row r="2" spans="1:12">
      <c r="C2" s="310" t="s">
        <v>194</v>
      </c>
      <c r="D2" s="311"/>
      <c r="E2" s="312"/>
      <c r="G2" s="18"/>
    </row>
    <row r="3" spans="1:12">
      <c r="B3" s="21" t="s">
        <v>193</v>
      </c>
      <c r="C3" s="19" t="s">
        <v>181</v>
      </c>
      <c r="D3" s="19" t="s">
        <v>182</v>
      </c>
      <c r="E3" s="107" t="s">
        <v>183</v>
      </c>
      <c r="F3" s="22" t="s">
        <v>1</v>
      </c>
      <c r="G3" s="18"/>
      <c r="I3" s="170" t="s">
        <v>64</v>
      </c>
      <c r="J3" s="170"/>
      <c r="K3" s="170"/>
      <c r="L3" s="170"/>
    </row>
    <row r="4" spans="1:12" ht="18">
      <c r="B4" s="292" t="s">
        <v>184</v>
      </c>
      <c r="C4" s="293">
        <v>37</v>
      </c>
      <c r="D4" s="293">
        <v>72</v>
      </c>
      <c r="E4" s="294">
        <v>1</v>
      </c>
      <c r="F4" s="293">
        <f>SUM(C4:E4)</f>
        <v>110</v>
      </c>
      <c r="G4" s="23"/>
      <c r="I4" s="170"/>
      <c r="J4" s="170" t="s">
        <v>323</v>
      </c>
      <c r="K4" s="170"/>
      <c r="L4" s="170"/>
    </row>
    <row r="5" spans="1:12" ht="18">
      <c r="B5" s="295" t="s">
        <v>185</v>
      </c>
      <c r="C5" s="296">
        <v>67</v>
      </c>
      <c r="D5" s="296">
        <v>85</v>
      </c>
      <c r="E5" s="297">
        <v>1</v>
      </c>
      <c r="F5" s="296">
        <f>SUM(C5:E5)</f>
        <v>153</v>
      </c>
      <c r="G5" s="23"/>
      <c r="I5" s="170"/>
      <c r="J5" s="170" t="s">
        <v>324</v>
      </c>
      <c r="K5" s="170"/>
      <c r="L5" s="170"/>
    </row>
    <row r="6" spans="1:12">
      <c r="B6" s="298" t="s">
        <v>186</v>
      </c>
      <c r="C6" s="299">
        <v>106</v>
      </c>
      <c r="D6" s="299">
        <v>124</v>
      </c>
      <c r="E6" s="300">
        <v>3</v>
      </c>
      <c r="F6" s="299">
        <f>SUM(C6:E6)</f>
        <v>233</v>
      </c>
      <c r="G6" s="23"/>
      <c r="I6" s="171" t="s">
        <v>65</v>
      </c>
      <c r="J6" s="171"/>
      <c r="K6" s="171"/>
      <c r="L6" s="171"/>
    </row>
    <row r="7" spans="1:12">
      <c r="B7" s="13" t="s">
        <v>1</v>
      </c>
      <c r="C7" s="22">
        <f>SUM(C4:C6)</f>
        <v>210</v>
      </c>
      <c r="D7" s="22">
        <f>SUM(D4:D6)</f>
        <v>281</v>
      </c>
      <c r="E7" s="22">
        <f>SUM(E4:E6)</f>
        <v>5</v>
      </c>
      <c r="F7" s="22">
        <f>SUM(F4:F6)</f>
        <v>496</v>
      </c>
      <c r="G7" s="23"/>
      <c r="I7" s="171"/>
      <c r="J7" s="171" t="s">
        <v>4</v>
      </c>
      <c r="K7" s="171"/>
      <c r="L7" s="171"/>
    </row>
    <row r="8" spans="1:12">
      <c r="C8" s="24"/>
      <c r="D8" s="24"/>
      <c r="E8" s="24"/>
      <c r="F8" s="24"/>
      <c r="G8" s="23"/>
      <c r="I8" s="171"/>
      <c r="J8" s="171" t="s">
        <v>198</v>
      </c>
      <c r="K8" s="171"/>
      <c r="L8" s="171"/>
    </row>
    <row r="9" spans="1:12">
      <c r="G9" s="23"/>
      <c r="I9" s="173" t="s">
        <v>361</v>
      </c>
      <c r="J9" s="173"/>
      <c r="K9" s="173"/>
      <c r="L9" s="173"/>
    </row>
    <row r="10" spans="1:12">
      <c r="C10" s="15"/>
      <c r="D10" s="15"/>
      <c r="E10" s="15"/>
      <c r="F10" s="15"/>
      <c r="G10" s="18"/>
      <c r="I10" s="173" t="s">
        <v>362</v>
      </c>
      <c r="J10" s="174" t="s">
        <v>94</v>
      </c>
      <c r="K10" s="175">
        <v>0.05</v>
      </c>
      <c r="L10" s="173"/>
    </row>
    <row r="11" spans="1:12">
      <c r="G11" s="18"/>
      <c r="I11" s="177" t="s">
        <v>363</v>
      </c>
      <c r="J11" s="177"/>
      <c r="K11" s="177"/>
      <c r="L11" s="177"/>
    </row>
    <row r="12" spans="1:12" ht="18.75">
      <c r="B12" s="11" t="s">
        <v>93</v>
      </c>
      <c r="G12" s="18"/>
      <c r="I12" s="177" t="s">
        <v>364</v>
      </c>
      <c r="J12" s="288" t="s">
        <v>389</v>
      </c>
      <c r="K12" s="179">
        <f>SUM(E15:E23)</f>
        <v>4.9951277817074651</v>
      </c>
      <c r="L12" s="195" t="str">
        <f ca="1">_xlfn.FORMULATEXT(K12)</f>
        <v>=SUM(E15:E23)</v>
      </c>
    </row>
    <row r="13" spans="1:12">
      <c r="G13" s="18"/>
      <c r="I13" s="177"/>
      <c r="J13" s="177"/>
      <c r="K13" s="177"/>
      <c r="L13" s="177"/>
    </row>
    <row r="14" spans="1:12" ht="17.25">
      <c r="C14" s="19" t="s">
        <v>2</v>
      </c>
      <c r="D14" s="19" t="s">
        <v>5</v>
      </c>
      <c r="E14" s="19" t="s">
        <v>260</v>
      </c>
      <c r="G14" s="18"/>
      <c r="I14" s="177"/>
      <c r="J14" s="182" t="s">
        <v>6</v>
      </c>
      <c r="K14" s="177"/>
      <c r="L14" s="177"/>
    </row>
    <row r="15" spans="1:12">
      <c r="B15" s="271" t="s">
        <v>184</v>
      </c>
      <c r="C15" s="261">
        <f>C4</f>
        <v>37</v>
      </c>
      <c r="D15" s="26">
        <f>F4*C7/F7</f>
        <v>46.572580645161288</v>
      </c>
      <c r="E15" s="26">
        <f t="shared" ref="E15:E23" si="0">(C15-D15)^2/D15</f>
        <v>1.9675590001396444</v>
      </c>
      <c r="F15" s="15" t="str">
        <f ca="1">_xlfn.FORMULATEXT(E15)</f>
        <v>=(C15-D15)^2/D15</v>
      </c>
      <c r="G15" s="23"/>
      <c r="I15" s="177"/>
      <c r="J15" s="178" t="s">
        <v>7</v>
      </c>
      <c r="K15" s="181">
        <f>COUNTA(B4:B6)</f>
        <v>3</v>
      </c>
      <c r="L15" s="195" t="str">
        <f t="shared" ref="L15:L19" ca="1" si="1">_xlfn.FORMULATEXT(K15)</f>
        <v>=COUNTA(B4:B6)</v>
      </c>
    </row>
    <row r="16" spans="1:12">
      <c r="B16" s="13"/>
      <c r="C16" s="261">
        <f>D4</f>
        <v>72</v>
      </c>
      <c r="D16" s="26">
        <f>F4*D7/F7</f>
        <v>62.318548387096776</v>
      </c>
      <c r="E16" s="26">
        <f t="shared" si="0"/>
        <v>1.5040546957347549</v>
      </c>
      <c r="G16" s="18"/>
      <c r="I16" s="177"/>
      <c r="J16" s="178" t="s">
        <v>8</v>
      </c>
      <c r="K16" s="181">
        <f>COUNTA(C4:E4)</f>
        <v>3</v>
      </c>
      <c r="L16" s="195" t="str">
        <f t="shared" ca="1" si="1"/>
        <v>=COUNTA(C4:E4)</v>
      </c>
    </row>
    <row r="17" spans="2:12">
      <c r="B17" s="13"/>
      <c r="C17" s="261">
        <f>E4</f>
        <v>1</v>
      </c>
      <c r="D17" s="26">
        <f>F4*E7/F7</f>
        <v>1.1088709677419355</v>
      </c>
      <c r="E17" s="26">
        <f t="shared" si="0"/>
        <v>1.0689149560117305E-2</v>
      </c>
      <c r="G17" s="18"/>
      <c r="I17" s="177"/>
      <c r="J17" s="178" t="s">
        <v>9</v>
      </c>
      <c r="K17" s="181">
        <f>(K15-1)*(K16-1)</f>
        <v>4</v>
      </c>
      <c r="L17" s="195" t="str">
        <f t="shared" ca="1" si="1"/>
        <v>=(K15-1)*(K16-1)</v>
      </c>
    </row>
    <row r="18" spans="2:12" ht="18.75">
      <c r="B18" s="295" t="s">
        <v>185</v>
      </c>
      <c r="C18" s="296">
        <f>C5</f>
        <v>67</v>
      </c>
      <c r="D18" s="26">
        <f>F5*C7/F7</f>
        <v>64.778225806451616</v>
      </c>
      <c r="E18" s="26">
        <f t="shared" si="0"/>
        <v>7.6202775016816562E-2</v>
      </c>
      <c r="G18" s="18"/>
      <c r="I18" s="177"/>
      <c r="J18" s="178" t="s">
        <v>390</v>
      </c>
      <c r="K18" s="181">
        <f>_xlfn.CHISQ.INV.RT(K10,K17)</f>
        <v>9.4877290367811575</v>
      </c>
      <c r="L18" s="195" t="str">
        <f t="shared" ca="1" si="1"/>
        <v>=CHISQ.INV.RT(K10,K17)</v>
      </c>
    </row>
    <row r="19" spans="2:12">
      <c r="B19" s="13"/>
      <c r="C19" s="296">
        <f>D5</f>
        <v>85</v>
      </c>
      <c r="D19" s="26">
        <f>F5*D7/F7</f>
        <v>86.679435483870961</v>
      </c>
      <c r="E19" s="26">
        <f t="shared" si="0"/>
        <v>3.2539477544356168E-2</v>
      </c>
      <c r="G19" s="18"/>
      <c r="I19" s="177"/>
      <c r="J19" s="178" t="s">
        <v>70</v>
      </c>
      <c r="K19" s="196">
        <f>_xlfn.CHISQ.DIST.RT(K12,K17)</f>
        <v>0.28779778068021211</v>
      </c>
      <c r="L19" s="195" t="str">
        <f t="shared" ca="1" si="1"/>
        <v>=CHISQ.DIST.RT(K12,K17)</v>
      </c>
    </row>
    <row r="20" spans="2:12">
      <c r="B20" s="13"/>
      <c r="C20" s="296">
        <f>E5</f>
        <v>1</v>
      </c>
      <c r="D20" s="26">
        <f>F5*E7/F7</f>
        <v>1.5423387096774193</v>
      </c>
      <c r="E20" s="26">
        <f t="shared" si="0"/>
        <v>0.19070472274931474</v>
      </c>
      <c r="G20" s="18"/>
      <c r="I20" s="197" t="s">
        <v>68</v>
      </c>
      <c r="J20" s="186"/>
      <c r="K20" s="186"/>
      <c r="L20" s="186"/>
    </row>
    <row r="21" spans="2:12" ht="18.75">
      <c r="B21" s="298" t="s">
        <v>186</v>
      </c>
      <c r="C21" s="299">
        <f>C6</f>
        <v>106</v>
      </c>
      <c r="D21" s="26">
        <f>F6*C7/F7</f>
        <v>98.649193548387103</v>
      </c>
      <c r="E21" s="26">
        <f t="shared" si="0"/>
        <v>0.54774249586308188</v>
      </c>
      <c r="G21" s="18"/>
      <c r="I21" s="186"/>
      <c r="J21" s="186" t="s">
        <v>402</v>
      </c>
      <c r="K21" s="186"/>
      <c r="L21" s="186"/>
    </row>
    <row r="22" spans="2:12">
      <c r="B22" s="13"/>
      <c r="C22" s="299">
        <f>D6</f>
        <v>124</v>
      </c>
      <c r="D22" s="26">
        <f>F6*D7/F7</f>
        <v>132.00201612903226</v>
      </c>
      <c r="E22" s="26">
        <f t="shared" si="0"/>
        <v>0.48508548586637268</v>
      </c>
      <c r="G22" s="18"/>
      <c r="I22" s="186"/>
      <c r="J22" s="186" t="s">
        <v>199</v>
      </c>
      <c r="K22" s="186"/>
      <c r="L22" s="186"/>
    </row>
    <row r="23" spans="2:12">
      <c r="B23" s="13"/>
      <c r="C23" s="299">
        <f>E6</f>
        <v>3</v>
      </c>
      <c r="D23" s="26">
        <f>F6*E7/F7</f>
        <v>2.348790322580645</v>
      </c>
      <c r="E23" s="26">
        <f t="shared" si="0"/>
        <v>0.18054997923300578</v>
      </c>
      <c r="G23" s="18"/>
    </row>
    <row r="24" spans="2:12">
      <c r="B24" s="24"/>
      <c r="C24" s="28"/>
      <c r="D24" s="198" t="str">
        <f ca="1">_xlfn.FORMULATEXT(D23)</f>
        <v>=F6*E7/F7</v>
      </c>
      <c r="E24" s="29"/>
      <c r="G24" s="18"/>
    </row>
    <row r="25" spans="2:12">
      <c r="G25" s="18"/>
    </row>
    <row r="26" spans="2:12">
      <c r="G26" s="18"/>
    </row>
    <row r="27" spans="2:12">
      <c r="G27" s="18"/>
    </row>
    <row r="28" spans="2:12">
      <c r="G28" s="18"/>
      <c r="H28" s="24"/>
    </row>
  </sheetData>
  <mergeCells count="1">
    <mergeCell ref="C2:E2"/>
  </mergeCells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28"/>
  <sheetViews>
    <sheetView workbookViewId="0">
      <selection activeCell="A2" sqref="A2"/>
    </sheetView>
  </sheetViews>
  <sheetFormatPr defaultColWidth="9.140625" defaultRowHeight="15"/>
  <cols>
    <col min="1" max="1" width="5.85546875" style="11" customWidth="1"/>
    <col min="2" max="2" width="17.140625" style="11" customWidth="1"/>
    <col min="3" max="3" width="14.140625" style="11" customWidth="1"/>
    <col min="4" max="4" width="21.5703125" style="11" customWidth="1"/>
    <col min="5" max="5" width="11.85546875" style="11" customWidth="1"/>
    <col min="6" max="6" width="18.28515625" style="11" customWidth="1"/>
    <col min="7" max="7" width="3.7109375" style="11" customWidth="1"/>
    <col min="8" max="8" width="25.5703125" style="11" customWidth="1"/>
    <col min="9" max="9" width="22.5703125" style="11" customWidth="1"/>
    <col min="10" max="10" width="20.85546875" style="11" customWidth="1"/>
    <col min="11" max="11" width="25.85546875" style="11" customWidth="1"/>
    <col min="12" max="16384" width="9.140625" style="11"/>
  </cols>
  <sheetData>
    <row r="1" spans="1:11">
      <c r="A1" s="10" t="s">
        <v>325</v>
      </c>
    </row>
    <row r="2" spans="1:11">
      <c r="C2" s="108" t="s">
        <v>203</v>
      </c>
      <c r="D2" s="108"/>
      <c r="E2" s="108"/>
    </row>
    <row r="3" spans="1:11">
      <c r="B3" s="21" t="s">
        <v>200</v>
      </c>
      <c r="C3" s="19">
        <v>1</v>
      </c>
      <c r="D3" s="19">
        <v>2</v>
      </c>
      <c r="E3" s="107">
        <v>3</v>
      </c>
      <c r="F3" s="22" t="s">
        <v>1</v>
      </c>
      <c r="H3" s="170" t="s">
        <v>64</v>
      </c>
      <c r="I3" s="170"/>
      <c r="J3" s="170"/>
      <c r="K3" s="170"/>
    </row>
    <row r="4" spans="1:11" ht="18">
      <c r="B4" s="295" t="s">
        <v>201</v>
      </c>
      <c r="C4" s="296">
        <v>37</v>
      </c>
      <c r="D4" s="296">
        <v>72</v>
      </c>
      <c r="E4" s="297">
        <v>1</v>
      </c>
      <c r="F4" s="296">
        <f>SUM(C4:E4)</f>
        <v>110</v>
      </c>
      <c r="H4" s="170"/>
      <c r="I4" s="170" t="s">
        <v>326</v>
      </c>
      <c r="J4" s="170"/>
      <c r="K4" s="170"/>
    </row>
    <row r="5" spans="1:11" ht="18">
      <c r="B5" s="271" t="s">
        <v>202</v>
      </c>
      <c r="C5" s="261">
        <v>67</v>
      </c>
      <c r="D5" s="261">
        <v>85</v>
      </c>
      <c r="E5" s="291">
        <v>1</v>
      </c>
      <c r="F5" s="261">
        <f>SUM(C5:E5)</f>
        <v>153</v>
      </c>
      <c r="H5" s="170"/>
      <c r="I5" s="170" t="s">
        <v>327</v>
      </c>
      <c r="J5" s="170"/>
      <c r="K5" s="170"/>
    </row>
    <row r="6" spans="1:11">
      <c r="B6" s="13" t="s">
        <v>1</v>
      </c>
      <c r="C6" s="22">
        <f>SUM(C4:C5)</f>
        <v>104</v>
      </c>
      <c r="D6" s="22">
        <f t="shared" ref="D6:E6" si="0">SUM(D4:D5)</f>
        <v>157</v>
      </c>
      <c r="E6" s="22">
        <f t="shared" si="0"/>
        <v>2</v>
      </c>
      <c r="F6" s="22">
        <f>SUM(F4:F5)</f>
        <v>263</v>
      </c>
      <c r="H6" s="171" t="s">
        <v>65</v>
      </c>
      <c r="I6" s="171"/>
      <c r="J6" s="171"/>
      <c r="K6" s="171"/>
    </row>
    <row r="7" spans="1:11">
      <c r="H7" s="171"/>
      <c r="I7" s="171" t="s">
        <v>4</v>
      </c>
      <c r="J7" s="171"/>
      <c r="K7" s="171"/>
    </row>
    <row r="8" spans="1:11">
      <c r="C8" s="24"/>
      <c r="D8" s="24"/>
      <c r="E8" s="24"/>
      <c r="F8" s="24"/>
      <c r="H8" s="171"/>
      <c r="I8" s="171" t="s">
        <v>204</v>
      </c>
      <c r="J8" s="171"/>
      <c r="K8" s="171"/>
    </row>
    <row r="9" spans="1:11">
      <c r="H9" s="173" t="s">
        <v>361</v>
      </c>
      <c r="I9" s="173"/>
      <c r="J9" s="173"/>
      <c r="K9" s="173"/>
    </row>
    <row r="10" spans="1:11">
      <c r="C10" s="15"/>
      <c r="D10" s="15"/>
      <c r="E10" s="15"/>
      <c r="F10" s="15"/>
      <c r="H10" s="173" t="s">
        <v>362</v>
      </c>
      <c r="I10" s="174" t="s">
        <v>94</v>
      </c>
      <c r="J10" s="175">
        <v>0.05</v>
      </c>
      <c r="K10" s="173"/>
    </row>
    <row r="11" spans="1:11">
      <c r="H11" s="177" t="s">
        <v>363</v>
      </c>
      <c r="I11" s="177"/>
      <c r="J11" s="177"/>
      <c r="K11" s="177"/>
    </row>
    <row r="12" spans="1:11" ht="18.75">
      <c r="B12" s="11" t="s">
        <v>93</v>
      </c>
      <c r="H12" s="177" t="s">
        <v>364</v>
      </c>
      <c r="I12" s="288" t="s">
        <v>389</v>
      </c>
      <c r="J12" s="179">
        <f>SUM(E15:E23)</f>
        <v>2.7740149608311828</v>
      </c>
      <c r="K12" s="195" t="str">
        <f ca="1">_xlfn.FORMULATEXT(J12)</f>
        <v>=SUM(E15:E23)</v>
      </c>
    </row>
    <row r="13" spans="1:11">
      <c r="H13" s="177"/>
      <c r="I13" s="177"/>
      <c r="J13" s="177"/>
      <c r="K13" s="177"/>
    </row>
    <row r="14" spans="1:11" ht="17.25">
      <c r="C14" s="19" t="s">
        <v>2</v>
      </c>
      <c r="D14" s="19" t="s">
        <v>5</v>
      </c>
      <c r="E14" s="19" t="s">
        <v>260</v>
      </c>
      <c r="H14" s="177"/>
      <c r="I14" s="182" t="s">
        <v>6</v>
      </c>
      <c r="J14" s="177"/>
      <c r="K14" s="177"/>
    </row>
    <row r="15" spans="1:11">
      <c r="B15" s="295" t="s">
        <v>201</v>
      </c>
      <c r="C15" s="296">
        <f>C4</f>
        <v>37</v>
      </c>
      <c r="D15" s="26">
        <f>F4*C6/F6</f>
        <v>43.49809885931559</v>
      </c>
      <c r="E15" s="26">
        <f t="shared" ref="E15:E20" si="1">(C15-D15)^2/D15</f>
        <v>0.97073871945544965</v>
      </c>
      <c r="F15" s="15" t="str">
        <f ca="1">_xlfn.FORMULATEXT(E15)</f>
        <v>=(C15-D15)^2/D15</v>
      </c>
      <c r="H15" s="177"/>
      <c r="I15" s="178" t="s">
        <v>7</v>
      </c>
      <c r="J15" s="181">
        <f>COUNTA(B4:B5)</f>
        <v>2</v>
      </c>
      <c r="K15" s="195" t="str">
        <f t="shared" ref="K15:K19" ca="1" si="2">_xlfn.FORMULATEXT(J15)</f>
        <v>=COUNTA(B4:B5)</v>
      </c>
    </row>
    <row r="16" spans="1:11">
      <c r="B16" s="13"/>
      <c r="C16" s="296">
        <f>D4</f>
        <v>72</v>
      </c>
      <c r="D16" s="26">
        <f>F4*D6/F6</f>
        <v>65.665399239543731</v>
      </c>
      <c r="E16" s="26">
        <f t="shared" si="1"/>
        <v>0.61108540051651039</v>
      </c>
      <c r="H16" s="177"/>
      <c r="I16" s="178" t="s">
        <v>8</v>
      </c>
      <c r="J16" s="181">
        <f>COUNTA(C3:E3)</f>
        <v>3</v>
      </c>
      <c r="K16" s="195" t="str">
        <f t="shared" ca="1" si="2"/>
        <v>=COUNTA(C3:E3)</v>
      </c>
    </row>
    <row r="17" spans="2:11">
      <c r="B17" s="13"/>
      <c r="C17" s="296">
        <f>E4</f>
        <v>1</v>
      </c>
      <c r="D17" s="26">
        <f>F4*E6/F6</f>
        <v>0.83650190114068446</v>
      </c>
      <c r="E17" s="26">
        <f t="shared" si="1"/>
        <v>3.1956446595229844E-2</v>
      </c>
      <c r="H17" s="177"/>
      <c r="I17" s="178" t="s">
        <v>9</v>
      </c>
      <c r="J17" s="181">
        <f>(J15-1)*(J16-1)</f>
        <v>2</v>
      </c>
      <c r="K17" s="195" t="str">
        <f t="shared" ca="1" si="2"/>
        <v>=(J15-1)*(J16-1)</v>
      </c>
    </row>
    <row r="18" spans="2:11" ht="18.75">
      <c r="B18" s="271" t="s">
        <v>202</v>
      </c>
      <c r="C18" s="261">
        <f>C5</f>
        <v>67</v>
      </c>
      <c r="D18" s="26">
        <f>F5*C6/F6</f>
        <v>60.50190114068441</v>
      </c>
      <c r="E18" s="26">
        <f t="shared" si="1"/>
        <v>0.69791672640587887</v>
      </c>
      <c r="H18" s="177"/>
      <c r="I18" s="178" t="s">
        <v>390</v>
      </c>
      <c r="J18" s="181">
        <f>_xlfn.CHISQ.INV.RT(J10,J17)</f>
        <v>5.9914645471079817</v>
      </c>
      <c r="K18" s="195" t="str">
        <f t="shared" ca="1" si="2"/>
        <v>=CHISQ.INV.RT(J10,J17)</v>
      </c>
    </row>
    <row r="19" spans="2:11">
      <c r="B19" s="13"/>
      <c r="C19" s="261">
        <f>D5</f>
        <v>85</v>
      </c>
      <c r="D19" s="26">
        <f>F5*D6/F6</f>
        <v>91.334600760456269</v>
      </c>
      <c r="E19" s="26">
        <f t="shared" si="1"/>
        <v>0.43934244481579188</v>
      </c>
      <c r="H19" s="177"/>
      <c r="I19" s="178" t="s">
        <v>70</v>
      </c>
      <c r="J19" s="196">
        <f>_xlfn.CHISQ.DIST.RT(J12,J17)</f>
        <v>0.24982178372835837</v>
      </c>
      <c r="K19" s="195" t="str">
        <f t="shared" ca="1" si="2"/>
        <v>=CHISQ.DIST.RT(J12,J17)</v>
      </c>
    </row>
    <row r="20" spans="2:11">
      <c r="B20" s="13"/>
      <c r="C20" s="261">
        <f>E5</f>
        <v>1</v>
      </c>
      <c r="D20" s="26">
        <f>F5*E6/F6</f>
        <v>1.1634980988593155</v>
      </c>
      <c r="E20" s="26">
        <f t="shared" si="1"/>
        <v>2.2975223042322114E-2</v>
      </c>
      <c r="H20" s="197" t="s">
        <v>68</v>
      </c>
      <c r="I20" s="186"/>
      <c r="J20" s="186"/>
      <c r="K20" s="186"/>
    </row>
    <row r="21" spans="2:11" ht="18.75">
      <c r="B21" s="85"/>
      <c r="C21" s="109"/>
      <c r="D21" s="110" t="str">
        <f ca="1">_xlfn.FORMULATEXT(D20)</f>
        <v>=F5*E6/F6</v>
      </c>
      <c r="E21" s="110"/>
      <c r="H21" s="186"/>
      <c r="I21" s="186" t="s">
        <v>403</v>
      </c>
      <c r="J21" s="186"/>
      <c r="K21" s="186"/>
    </row>
    <row r="22" spans="2:11">
      <c r="B22" s="85"/>
      <c r="C22" s="109"/>
      <c r="D22" s="110"/>
      <c r="E22" s="110"/>
      <c r="H22" s="186"/>
      <c r="I22" s="186" t="s">
        <v>205</v>
      </c>
      <c r="J22" s="186"/>
      <c r="K22" s="186"/>
    </row>
    <row r="23" spans="2:11">
      <c r="B23" s="85"/>
      <c r="C23" s="109"/>
      <c r="D23" s="110"/>
      <c r="E23" s="110"/>
    </row>
    <row r="24" spans="2:11">
      <c r="B24" s="24"/>
      <c r="C24" s="28"/>
      <c r="D24" s="28"/>
      <c r="E24" s="29"/>
    </row>
    <row r="25" spans="2:11">
      <c r="F25" s="18"/>
    </row>
    <row r="28" spans="2:11">
      <c r="G28" s="24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ignoredErrors>
    <ignoredError sqref="C6:E6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I33"/>
  <sheetViews>
    <sheetView workbookViewId="0">
      <selection activeCell="A2" sqref="A2"/>
    </sheetView>
  </sheetViews>
  <sheetFormatPr defaultColWidth="9.140625" defaultRowHeight="15"/>
  <cols>
    <col min="1" max="1" width="9.140625" style="66"/>
    <col min="2" max="2" width="18.28515625" style="66" customWidth="1"/>
    <col min="3" max="3" width="23.42578125" style="66" customWidth="1"/>
    <col min="4" max="4" width="27.140625" style="66" customWidth="1"/>
    <col min="5" max="5" width="13.140625" style="66" customWidth="1"/>
    <col min="6" max="6" width="13.42578125" style="66" customWidth="1"/>
    <col min="7" max="7" width="14.7109375" style="66" customWidth="1"/>
    <col min="8" max="8" width="11.42578125" style="66" customWidth="1"/>
    <col min="9" max="16384" width="9.140625" style="66"/>
  </cols>
  <sheetData>
    <row r="1" spans="1:9">
      <c r="A1" s="65" t="s">
        <v>328</v>
      </c>
    </row>
    <row r="3" spans="1:9">
      <c r="B3" s="77" t="s">
        <v>206</v>
      </c>
      <c r="C3" s="77" t="s">
        <v>17</v>
      </c>
      <c r="D3" s="77" t="s">
        <v>149</v>
      </c>
      <c r="F3" s="77" t="s">
        <v>139</v>
      </c>
      <c r="H3" s="77" t="s">
        <v>11</v>
      </c>
    </row>
    <row r="4" spans="1:9">
      <c r="B4" s="78" t="s">
        <v>207</v>
      </c>
      <c r="C4" s="78">
        <v>157</v>
      </c>
      <c r="D4" s="78">
        <f>C11*$C$9</f>
        <v>160</v>
      </c>
      <c r="E4" s="69" t="str">
        <f ca="1">_xlfn.FORMULATEXT(D4)</f>
        <v>=C11*$C$9</v>
      </c>
      <c r="F4" s="68">
        <f>(C4-D4)^2</f>
        <v>9</v>
      </c>
      <c r="G4" s="69" t="str">
        <f ca="1">_xlfn.FORMULATEXT(F4)</f>
        <v>=(C4-D4)^2</v>
      </c>
      <c r="H4" s="68">
        <f>F4/D4</f>
        <v>5.6250000000000001E-2</v>
      </c>
      <c r="I4" s="69" t="str">
        <f ca="1">_xlfn.FORMULATEXT(H4)</f>
        <v>=F4/D4</v>
      </c>
    </row>
    <row r="5" spans="1:9">
      <c r="B5" s="78" t="s">
        <v>208</v>
      </c>
      <c r="C5" s="78">
        <v>42</v>
      </c>
      <c r="D5" s="78">
        <f>C12*$C$9</f>
        <v>34</v>
      </c>
      <c r="F5" s="68">
        <f>(C5-D5)^2</f>
        <v>64</v>
      </c>
      <c r="H5" s="68">
        <f>F5/D5</f>
        <v>1.8823529411764706</v>
      </c>
    </row>
    <row r="6" spans="1:9">
      <c r="B6" s="78" t="s">
        <v>209</v>
      </c>
      <c r="C6" s="78">
        <v>1</v>
      </c>
      <c r="D6" s="78">
        <f>C13*$C$9</f>
        <v>6</v>
      </c>
      <c r="E6" s="69" t="str">
        <f ca="1">_xlfn.FORMULATEXT(D6)</f>
        <v>=C13*$C$9</v>
      </c>
      <c r="F6" s="68">
        <f>(C6-D6)^2</f>
        <v>25</v>
      </c>
      <c r="G6" s="69" t="str">
        <f ca="1">_xlfn.FORMULATEXT(F6)</f>
        <v>=(C6-D6)^2</v>
      </c>
      <c r="H6" s="68">
        <f>F6/D6</f>
        <v>4.166666666666667</v>
      </c>
      <c r="I6" s="69" t="str">
        <f ca="1">_xlfn.FORMULATEXT(H6)</f>
        <v>=F6/D6</v>
      </c>
    </row>
    <row r="7" spans="1:9">
      <c r="B7" s="111"/>
      <c r="C7" s="111"/>
      <c r="D7" s="111"/>
      <c r="E7" s="112"/>
      <c r="F7" s="113"/>
      <c r="G7" s="113"/>
      <c r="H7" s="113"/>
    </row>
    <row r="9" spans="1:9">
      <c r="B9" s="94" t="s">
        <v>147</v>
      </c>
      <c r="C9" s="73">
        <f>SUM(C4:C7)</f>
        <v>200</v>
      </c>
    </row>
    <row r="11" spans="1:9">
      <c r="B11" s="67" t="s">
        <v>146</v>
      </c>
      <c r="C11" s="78">
        <v>0.8</v>
      </c>
    </row>
    <row r="12" spans="1:9">
      <c r="B12" s="67" t="s">
        <v>145</v>
      </c>
      <c r="C12" s="78">
        <v>0.17</v>
      </c>
    </row>
    <row r="13" spans="1:9">
      <c r="B13" s="67" t="s">
        <v>144</v>
      </c>
      <c r="C13" s="78">
        <v>0.03</v>
      </c>
    </row>
    <row r="14" spans="1:9">
      <c r="B14" s="67"/>
      <c r="C14" s="78"/>
    </row>
    <row r="15" spans="1:9">
      <c r="B15" s="67" t="s">
        <v>143</v>
      </c>
      <c r="C15" s="78">
        <f>SUM(C11:C13)</f>
        <v>1</v>
      </c>
      <c r="D15" s="69" t="str">
        <f t="shared" ref="D15:D16" ca="1" si="0">_xlfn.FORMULATEXT(C15)</f>
        <v>=SUM(C11:C13)</v>
      </c>
    </row>
    <row r="16" spans="1:9">
      <c r="B16" s="67" t="s">
        <v>24</v>
      </c>
      <c r="C16" s="78">
        <f>COUNTA(B4:B6)</f>
        <v>3</v>
      </c>
      <c r="D16" s="69" t="str">
        <f t="shared" ca="1" si="0"/>
        <v>=COUNTA(B4:B6)</v>
      </c>
    </row>
    <row r="18" spans="2:4" ht="18">
      <c r="B18" s="98" t="s">
        <v>329</v>
      </c>
    </row>
    <row r="19" spans="2:4" ht="18">
      <c r="B19" s="98" t="s">
        <v>330</v>
      </c>
    </row>
    <row r="21" spans="2:4">
      <c r="B21" s="67" t="s">
        <v>138</v>
      </c>
      <c r="C21" s="68">
        <f>SUM(H4:H6)</f>
        <v>6.1052696078431374</v>
      </c>
      <c r="D21" s="69" t="str">
        <f ca="1">_xlfn.FORMULATEXT(C21)</f>
        <v>=SUM(H4:H6)</v>
      </c>
    </row>
    <row r="22" spans="2:4">
      <c r="B22" s="67" t="s">
        <v>137</v>
      </c>
      <c r="C22" s="194">
        <v>0.05</v>
      </c>
    </row>
    <row r="23" spans="2:4">
      <c r="B23" s="67" t="s">
        <v>25</v>
      </c>
      <c r="C23" s="194">
        <v>0</v>
      </c>
    </row>
    <row r="24" spans="2:4">
      <c r="B24" s="67" t="s">
        <v>9</v>
      </c>
      <c r="C24" s="68">
        <f>C16-C23-1</f>
        <v>2</v>
      </c>
      <c r="D24" s="69" t="str">
        <f t="shared" ref="D24:D26" ca="1" si="1">_xlfn.FORMULATEXT(C24)</f>
        <v>=C16-C23-1</v>
      </c>
    </row>
    <row r="25" spans="2:4">
      <c r="B25" s="67" t="s">
        <v>136</v>
      </c>
      <c r="C25" s="68">
        <f>_xlfn.CHISQ.DIST.RT(C21,C24)</f>
        <v>4.7234307154518797E-2</v>
      </c>
      <c r="D25" s="69" t="str">
        <f t="shared" ca="1" si="1"/>
        <v>=CHISQ.DIST.RT(C21,C24)</v>
      </c>
    </row>
    <row r="26" spans="2:4">
      <c r="B26" s="67" t="s">
        <v>142</v>
      </c>
      <c r="C26" s="68">
        <f>_xlfn.CHISQ.TEST(C4:C7,D4:D7)</f>
        <v>0.10659945409027578</v>
      </c>
      <c r="D26" s="69" t="str">
        <f t="shared" ca="1" si="1"/>
        <v>=CHISQ.TEST(C4:C7,D4:D7)</v>
      </c>
    </row>
    <row r="28" spans="2:4" ht="18">
      <c r="B28" s="98" t="s">
        <v>331</v>
      </c>
    </row>
    <row r="29" spans="2:4">
      <c r="B29" s="66" t="s">
        <v>210</v>
      </c>
    </row>
    <row r="30" spans="2:4">
      <c r="B30" s="66" t="s">
        <v>135</v>
      </c>
    </row>
    <row r="32" spans="2:4">
      <c r="B32" s="66" t="s">
        <v>141</v>
      </c>
    </row>
    <row r="33" spans="2:2">
      <c r="B33" s="66" t="s">
        <v>140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N31"/>
  <sheetViews>
    <sheetView zoomScale="90" zoomScaleNormal="90" workbookViewId="0">
      <selection activeCell="A2" sqref="A2"/>
    </sheetView>
  </sheetViews>
  <sheetFormatPr defaultColWidth="9.140625" defaultRowHeight="15.95" customHeight="1"/>
  <cols>
    <col min="1" max="1" width="6.7109375" style="34" customWidth="1"/>
    <col min="2" max="2" width="25.42578125" style="34" customWidth="1"/>
    <col min="3" max="3" width="20.28515625" style="34" customWidth="1"/>
    <col min="4" max="4" width="14.28515625" style="34" customWidth="1"/>
    <col min="5" max="5" width="4.140625" style="34" customWidth="1"/>
    <col min="6" max="6" width="30.5703125" style="34" customWidth="1"/>
    <col min="7" max="7" width="19.28515625" style="34" customWidth="1"/>
    <col min="8" max="8" width="15.140625" style="34" customWidth="1"/>
    <col min="9" max="9" width="27" style="34" customWidth="1"/>
    <col min="10" max="10" width="5" style="34" customWidth="1"/>
    <col min="11" max="11" width="25" style="34" customWidth="1"/>
    <col min="12" max="12" width="35.42578125" style="34" customWidth="1"/>
    <col min="13" max="13" width="18.42578125" style="34" customWidth="1"/>
    <col min="14" max="14" width="52" style="34" customWidth="1"/>
    <col min="15" max="15" width="5.85546875" style="34" customWidth="1"/>
    <col min="16" max="16384" width="9.140625" style="34"/>
  </cols>
  <sheetData>
    <row r="1" spans="1:14" ht="15.95" customHeight="1">
      <c r="A1" s="33" t="s">
        <v>332</v>
      </c>
    </row>
    <row r="2" spans="1:14" ht="15.95" customHeight="1">
      <c r="G2" s="34" t="s">
        <v>16</v>
      </c>
    </row>
    <row r="3" spans="1:14" ht="30" customHeight="1">
      <c r="B3" s="114" t="s">
        <v>211</v>
      </c>
      <c r="C3" s="114" t="s">
        <v>17</v>
      </c>
      <c r="D3" s="115" t="s">
        <v>18</v>
      </c>
      <c r="E3" s="133"/>
      <c r="G3" s="115" t="s">
        <v>19</v>
      </c>
      <c r="H3" s="115" t="s">
        <v>5</v>
      </c>
      <c r="I3" s="115" t="s">
        <v>20</v>
      </c>
      <c r="K3" s="35" t="s">
        <v>64</v>
      </c>
      <c r="L3" s="36"/>
      <c r="M3" s="36"/>
      <c r="N3" s="36"/>
    </row>
    <row r="4" spans="1:14" ht="15.95" customHeight="1">
      <c r="B4" s="38">
        <v>0</v>
      </c>
      <c r="C4" s="38">
        <v>200</v>
      </c>
      <c r="D4" s="38">
        <f>B4*C4</f>
        <v>0</v>
      </c>
      <c r="E4" s="130"/>
      <c r="F4" s="191" t="str">
        <f ca="1">_xlfn.FORMULATEXT(G4)</f>
        <v>=POISSON.DIST(B4,$D$12,FALSE)</v>
      </c>
      <c r="G4" s="116">
        <f>_xlfn.POISSON.DIST(B4,$D$12,FALSE)</f>
        <v>0.2597036032583957</v>
      </c>
      <c r="H4" s="116">
        <f t="shared" ref="H4:H10" si="0">SUM($C$4:$C$10)*G4</f>
        <v>174.52082138964192</v>
      </c>
      <c r="I4" s="116">
        <f t="shared" ref="I4:I10" si="1">(C4-H4)^2/H4</f>
        <v>3.7198343297337861</v>
      </c>
      <c r="K4" s="36"/>
      <c r="L4" s="36" t="s">
        <v>333</v>
      </c>
      <c r="M4" s="36"/>
      <c r="N4" s="36"/>
    </row>
    <row r="5" spans="1:14" ht="15.95" customHeight="1">
      <c r="B5" s="38">
        <v>1</v>
      </c>
      <c r="C5" s="38">
        <v>240</v>
      </c>
      <c r="D5" s="38">
        <f t="shared" ref="D5:D10" si="2">B5*C5</f>
        <v>240</v>
      </c>
      <c r="E5" s="130"/>
      <c r="F5" s="191" t="str">
        <f t="shared" ref="F5:F10" ca="1" si="3">_xlfn.FORMULATEXT(G5)</f>
        <v>=POISSON.DIST(B5,$D$12,FALSE)</v>
      </c>
      <c r="G5" s="116">
        <f t="shared" ref="G5:G9" si="4">_xlfn.POISSON.DIST(B5,$D$12,FALSE)</f>
        <v>0.35013610796444422</v>
      </c>
      <c r="H5" s="116">
        <f t="shared" si="0"/>
        <v>235.2914645521065</v>
      </c>
      <c r="I5" s="116">
        <f t="shared" si="1"/>
        <v>9.4224863219209032E-2</v>
      </c>
      <c r="K5" s="36"/>
      <c r="L5" s="36" t="s">
        <v>334</v>
      </c>
      <c r="M5" s="36"/>
      <c r="N5" s="36"/>
    </row>
    <row r="6" spans="1:14" ht="15.95" customHeight="1">
      <c r="B6" s="38">
        <v>2</v>
      </c>
      <c r="C6" s="38">
        <v>125</v>
      </c>
      <c r="D6" s="38">
        <f t="shared" si="2"/>
        <v>250</v>
      </c>
      <c r="E6" s="130"/>
      <c r="F6" s="191" t="str">
        <f t="shared" ca="1" si="3"/>
        <v>=POISSON.DIST(B6,$D$12,FALSE)</v>
      </c>
      <c r="G6" s="116">
        <f t="shared" si="4"/>
        <v>0.23602925135103167</v>
      </c>
      <c r="H6" s="116">
        <f t="shared" si="0"/>
        <v>158.61165690789329</v>
      </c>
      <c r="I6" s="116">
        <f t="shared" si="1"/>
        <v>7.1227014591366347</v>
      </c>
    </row>
    <row r="7" spans="1:14" ht="15.95" customHeight="1">
      <c r="B7" s="38">
        <v>3</v>
      </c>
      <c r="C7" s="38">
        <v>52</v>
      </c>
      <c r="D7" s="38">
        <f t="shared" si="2"/>
        <v>156</v>
      </c>
      <c r="E7" s="130"/>
      <c r="F7" s="191" t="str">
        <f t="shared" ca="1" si="3"/>
        <v>=POISSON.DIST(B7,$D$12,FALSE)</v>
      </c>
      <c r="G7" s="116">
        <f t="shared" si="4"/>
        <v>0.10607266950596958</v>
      </c>
      <c r="H7" s="116">
        <f t="shared" si="0"/>
        <v>71.280833908011559</v>
      </c>
      <c r="I7" s="116">
        <f t="shared" si="1"/>
        <v>5.215294712574142</v>
      </c>
      <c r="K7" s="43" t="s">
        <v>65</v>
      </c>
      <c r="L7" s="44"/>
      <c r="M7" s="44"/>
      <c r="N7" s="44"/>
    </row>
    <row r="8" spans="1:14" ht="15.95" customHeight="1">
      <c r="B8" s="38">
        <v>4</v>
      </c>
      <c r="C8" s="38">
        <v>27</v>
      </c>
      <c r="D8" s="38">
        <f t="shared" si="2"/>
        <v>108</v>
      </c>
      <c r="E8" s="130"/>
      <c r="F8" s="191" t="str">
        <f t="shared" ca="1" si="3"/>
        <v>=POISSON.DIST(B8,$D$12,FALSE)</v>
      </c>
      <c r="G8" s="116">
        <f t="shared" si="4"/>
        <v>3.5752172087949598E-2</v>
      </c>
      <c r="H8" s="116">
        <f t="shared" si="0"/>
        <v>24.025459643102131</v>
      </c>
      <c r="I8" s="116">
        <f t="shared" si="1"/>
        <v>0.36827142815369152</v>
      </c>
      <c r="K8" s="44"/>
      <c r="L8" s="44" t="s">
        <v>21</v>
      </c>
      <c r="M8" s="44"/>
      <c r="N8" s="44"/>
    </row>
    <row r="9" spans="1:14" ht="15.95" customHeight="1">
      <c r="B9" s="38">
        <v>5</v>
      </c>
      <c r="C9" s="38">
        <v>16</v>
      </c>
      <c r="D9" s="38">
        <f t="shared" si="2"/>
        <v>80</v>
      </c>
      <c r="E9" s="130"/>
      <c r="F9" s="191" t="str">
        <f t="shared" ca="1" si="3"/>
        <v>=POISSON.DIST(B9,$D$12,FALSE)</v>
      </c>
      <c r="G9" s="116">
        <f t="shared" si="4"/>
        <v>9.6403178308578294E-3</v>
      </c>
      <c r="H9" s="116">
        <f t="shared" si="0"/>
        <v>6.4782935823364616</v>
      </c>
      <c r="I9" s="116">
        <f t="shared" si="1"/>
        <v>13.994872562023735</v>
      </c>
    </row>
    <row r="10" spans="1:14" ht="15.95" customHeight="1">
      <c r="B10" s="38">
        <v>6</v>
      </c>
      <c r="C10" s="38">
        <v>12</v>
      </c>
      <c r="D10" s="38">
        <f t="shared" si="2"/>
        <v>72</v>
      </c>
      <c r="E10" s="130"/>
      <c r="F10" s="191" t="str">
        <f t="shared" ca="1" si="3"/>
        <v>=1-SUM(G4:G9)</v>
      </c>
      <c r="G10" s="117">
        <f>1-SUM(G4:G9)</f>
        <v>2.6658780013513184E-3</v>
      </c>
      <c r="H10" s="116">
        <f t="shared" si="0"/>
        <v>1.7914700169080859</v>
      </c>
      <c r="I10" s="116">
        <f t="shared" si="1"/>
        <v>58.172385489069256</v>
      </c>
      <c r="K10" s="47" t="s">
        <v>66</v>
      </c>
      <c r="L10" s="48"/>
      <c r="M10" s="48"/>
      <c r="N10" s="48"/>
    </row>
    <row r="11" spans="1:14" ht="15.95" customHeight="1">
      <c r="G11" s="40"/>
      <c r="H11" s="134" t="str">
        <f ca="1">_xlfn.FORMULATEXT(H10)</f>
        <v>=SUM($C$4:$C$10)*G10</v>
      </c>
      <c r="K11" s="47"/>
      <c r="L11" s="119" t="s">
        <v>62</v>
      </c>
      <c r="M11" s="48">
        <v>0.05</v>
      </c>
      <c r="N11" s="48"/>
    </row>
    <row r="12" spans="1:14" ht="15.95" customHeight="1">
      <c r="C12" s="266" t="s">
        <v>22</v>
      </c>
      <c r="D12" s="267">
        <f>SUM(D4:D10)/SUM(C4:C10)</f>
        <v>1.3482142857142858</v>
      </c>
      <c r="E12" s="190"/>
      <c r="F12" s="40"/>
      <c r="G12" s="41"/>
      <c r="I12" s="34" t="str">
        <f ca="1">_xlfn.FORMULATEXT(I10)</f>
        <v>=(C10-H10)^2/H10</v>
      </c>
    </row>
    <row r="13" spans="1:14" ht="15.95" customHeight="1">
      <c r="D13" s="40" t="str">
        <f ca="1">_xlfn.FORMULATEXT(D12)</f>
        <v>=SUM(D4:D10)/SUM(C4:C10)</v>
      </c>
      <c r="E13" s="40"/>
      <c r="K13" s="52" t="s">
        <v>67</v>
      </c>
      <c r="L13" s="53"/>
      <c r="M13" s="53"/>
      <c r="N13" s="53"/>
    </row>
    <row r="14" spans="1:14" ht="15.95" customHeight="1">
      <c r="K14" s="53"/>
      <c r="L14" s="120" t="s">
        <v>404</v>
      </c>
      <c r="M14" s="121">
        <f>SUM(I4:I10)</f>
        <v>88.687584843910457</v>
      </c>
      <c r="N14" s="60" t="str">
        <f ca="1">_xlfn.FORMULATEXT(M14)</f>
        <v>=SUM(I4:I10)</v>
      </c>
    </row>
    <row r="15" spans="1:14" ht="15.95" customHeight="1">
      <c r="K15" s="53"/>
      <c r="L15" s="53"/>
      <c r="M15" s="53"/>
      <c r="N15" s="53"/>
    </row>
    <row r="16" spans="1:14" ht="15.95" customHeight="1">
      <c r="K16" s="53"/>
      <c r="L16" s="120" t="s">
        <v>23</v>
      </c>
      <c r="M16" s="53"/>
      <c r="N16" s="53"/>
    </row>
    <row r="17" spans="7:14" ht="15.95" customHeight="1">
      <c r="K17" s="53"/>
      <c r="L17" s="120" t="s">
        <v>24</v>
      </c>
      <c r="M17" s="53">
        <f>COUNT(B4:B10)</f>
        <v>7</v>
      </c>
      <c r="N17" s="60" t="str">
        <f ca="1">_xlfn.FORMULATEXT(M17)</f>
        <v>=COUNT(B4:B10)</v>
      </c>
    </row>
    <row r="18" spans="7:14" ht="15.95" customHeight="1">
      <c r="K18" s="53"/>
      <c r="L18" s="120" t="s">
        <v>25</v>
      </c>
      <c r="M18" s="53">
        <v>1</v>
      </c>
      <c r="N18" s="53" t="s">
        <v>71</v>
      </c>
    </row>
    <row r="19" spans="7:14" ht="15.95" customHeight="1">
      <c r="K19" s="53"/>
      <c r="L19" s="120" t="s">
        <v>9</v>
      </c>
      <c r="M19" s="53">
        <f>M17-M18-1</f>
        <v>5</v>
      </c>
      <c r="N19" s="60" t="str">
        <f ca="1">_xlfn.FORMULATEXT(M19)</f>
        <v>=M17-M18-1</v>
      </c>
    </row>
    <row r="20" spans="7:14" ht="15.95" customHeight="1">
      <c r="K20" s="53"/>
      <c r="L20" s="120"/>
      <c r="M20" s="53"/>
      <c r="N20" s="54"/>
    </row>
    <row r="21" spans="7:14" ht="15.95" customHeight="1">
      <c r="K21" s="122" t="s">
        <v>54</v>
      </c>
      <c r="L21" s="120" t="s">
        <v>70</v>
      </c>
      <c r="M21" s="264">
        <f>_xlfn.CHISQ.DIST.RT(M14,M19)</f>
        <v>1.2675200753322586E-17</v>
      </c>
      <c r="N21" s="60" t="str">
        <f t="shared" ref="N21:N24" ca="1" si="5">_xlfn.FORMULATEXT(M21)</f>
        <v>=CHISQ.DIST.RT(M14,M19)</v>
      </c>
    </row>
    <row r="22" spans="7:14" ht="15.95" customHeight="1">
      <c r="K22" s="122"/>
      <c r="L22" s="120" t="s">
        <v>63</v>
      </c>
      <c r="M22" s="265">
        <f>1-_xlfn.CHISQ.DIST(M14,M19,TRUE)</f>
        <v>0</v>
      </c>
      <c r="N22" s="60" t="str">
        <f t="shared" ca="1" si="5"/>
        <v>=1-CHISQ.DIST(M14,M19,TRUE)</v>
      </c>
    </row>
    <row r="23" spans="7:14" ht="15.95" customHeight="1">
      <c r="K23" s="53"/>
      <c r="L23" s="120" t="s">
        <v>69</v>
      </c>
      <c r="M23" s="264">
        <f>_xlfn.CHISQ.TEST(C4:C10,H4:H10)</f>
        <v>5.67482541311444E-17</v>
      </c>
      <c r="N23" s="60" t="str">
        <f t="shared" ca="1" si="5"/>
        <v>=CHISQ.TEST(C4:C10,H4:H10)</v>
      </c>
    </row>
    <row r="24" spans="7:14" ht="15.95" customHeight="1">
      <c r="K24" s="122" t="s">
        <v>55</v>
      </c>
      <c r="L24" s="120" t="s">
        <v>26</v>
      </c>
      <c r="M24" s="121">
        <f>_xlfn.CHISQ.INV.RT(M11,M19)</f>
        <v>11.070497693516353</v>
      </c>
      <c r="N24" s="60" t="str">
        <f t="shared" ca="1" si="5"/>
        <v>=CHISQ.INV.RT(M11,M19)</v>
      </c>
    </row>
    <row r="26" spans="7:14" ht="15.95" customHeight="1">
      <c r="K26" s="62" t="s">
        <v>68</v>
      </c>
      <c r="L26" s="124"/>
      <c r="M26" s="63"/>
      <c r="N26" s="63"/>
    </row>
    <row r="27" spans="7:14" ht="15.95" customHeight="1">
      <c r="K27" s="125" t="s">
        <v>54</v>
      </c>
      <c r="L27" s="63" t="s">
        <v>335</v>
      </c>
      <c r="M27" s="63"/>
      <c r="N27" s="63" t="s">
        <v>369</v>
      </c>
    </row>
    <row r="28" spans="7:14" ht="15.95" customHeight="1">
      <c r="K28" s="125" t="s">
        <v>55</v>
      </c>
      <c r="L28" s="63" t="s">
        <v>405</v>
      </c>
      <c r="M28" s="63"/>
      <c r="N28" s="63" t="s">
        <v>370</v>
      </c>
    </row>
    <row r="29" spans="7:14" ht="15.95" customHeight="1">
      <c r="K29" s="63"/>
      <c r="L29" s="63" t="s">
        <v>212</v>
      </c>
      <c r="M29" s="63"/>
      <c r="N29" s="63"/>
    </row>
    <row r="30" spans="7:14" ht="15.95" customHeight="1">
      <c r="G30" s="41"/>
      <c r="K30" s="63"/>
      <c r="L30" s="63" t="s">
        <v>213</v>
      </c>
      <c r="M30" s="63"/>
      <c r="N30" s="63"/>
    </row>
    <row r="31" spans="7:14" ht="15.95" customHeight="1">
      <c r="K31" s="193"/>
      <c r="L31" s="193"/>
      <c r="M31" s="193"/>
      <c r="N31" s="19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O32"/>
  <sheetViews>
    <sheetView zoomScale="90" zoomScaleNormal="90" workbookViewId="0">
      <selection activeCell="A2" sqref="A2"/>
    </sheetView>
  </sheetViews>
  <sheetFormatPr defaultColWidth="9.140625" defaultRowHeight="15.95" customHeight="1"/>
  <cols>
    <col min="1" max="1" width="10" style="34" customWidth="1"/>
    <col min="2" max="2" width="25.42578125" style="34" customWidth="1"/>
    <col min="3" max="3" width="20.28515625" style="34" customWidth="1"/>
    <col min="4" max="5" width="14.28515625" style="34" customWidth="1"/>
    <col min="6" max="6" width="3.7109375" style="34" customWidth="1"/>
    <col min="7" max="7" width="30.5703125" style="34" customWidth="1"/>
    <col min="8" max="8" width="19.28515625" style="34" customWidth="1"/>
    <col min="9" max="9" width="15.140625" style="34" customWidth="1"/>
    <col min="10" max="10" width="27" style="34" customWidth="1"/>
    <col min="11" max="11" width="5" style="34" customWidth="1"/>
    <col min="12" max="12" width="25" style="34" customWidth="1"/>
    <col min="13" max="13" width="35.42578125" style="34" customWidth="1"/>
    <col min="14" max="14" width="18.42578125" style="34" customWidth="1"/>
    <col min="15" max="15" width="52" style="34" customWidth="1"/>
    <col min="16" max="16" width="5.85546875" style="34" customWidth="1"/>
    <col min="17" max="16384" width="9.140625" style="34"/>
  </cols>
  <sheetData>
    <row r="1" spans="1:15" ht="15.95" customHeight="1">
      <c r="A1" s="33" t="s">
        <v>336</v>
      </c>
    </row>
    <row r="3" spans="1:15" ht="15.95" customHeight="1">
      <c r="H3" s="34" t="s">
        <v>16</v>
      </c>
    </row>
    <row r="4" spans="1:15" ht="30" customHeight="1">
      <c r="B4" s="114" t="s">
        <v>211</v>
      </c>
      <c r="C4" s="114" t="s">
        <v>17</v>
      </c>
      <c r="D4" s="115" t="s">
        <v>18</v>
      </c>
      <c r="E4" s="133"/>
      <c r="F4" s="133"/>
      <c r="H4" s="115" t="s">
        <v>19</v>
      </c>
      <c r="I4" s="115" t="s">
        <v>5</v>
      </c>
      <c r="J4" s="115" t="s">
        <v>20</v>
      </c>
      <c r="L4" s="35" t="s">
        <v>64</v>
      </c>
      <c r="M4" s="36"/>
      <c r="N4" s="36"/>
      <c r="O4" s="36"/>
    </row>
    <row r="5" spans="1:15" ht="15.95" customHeight="1">
      <c r="B5" s="38">
        <v>0</v>
      </c>
      <c r="C5" s="38">
        <v>200</v>
      </c>
      <c r="D5" s="38">
        <f>B5*C5</f>
        <v>0</v>
      </c>
      <c r="E5" s="147" t="str">
        <f ca="1">_xlfn.FORMULATEXT(D5)</f>
        <v>=B5*C5</v>
      </c>
      <c r="F5" s="147"/>
      <c r="G5" s="191" t="str">
        <f ca="1">_xlfn.FORMULATEXT(H5)</f>
        <v>=POISSON.DIST(B5,$D$13,FALSE)</v>
      </c>
      <c r="H5" s="116">
        <f t="shared" ref="H5:H10" si="0">_xlfn.POISSON.DIST(B5,$D$13,FALSE)</f>
        <v>0.28650479686019009</v>
      </c>
      <c r="I5" s="116">
        <f t="shared" ref="I5:I11" si="1">SUM($C$5:$C$11)*H5</f>
        <v>192.53122349004775</v>
      </c>
      <c r="J5" s="116">
        <f t="shared" ref="J5:J11" si="2">(C5-I5)^2/I5</f>
        <v>0.28973286277640048</v>
      </c>
      <c r="L5" s="36"/>
      <c r="M5" s="36" t="s">
        <v>333</v>
      </c>
      <c r="N5" s="36"/>
      <c r="O5" s="36"/>
    </row>
    <row r="6" spans="1:15" ht="15.95" customHeight="1">
      <c r="B6" s="38">
        <v>1</v>
      </c>
      <c r="C6" s="38">
        <v>240</v>
      </c>
      <c r="D6" s="38">
        <f t="shared" ref="D6:D11" si="3">B6*C6</f>
        <v>240</v>
      </c>
      <c r="E6" s="147"/>
      <c r="F6" s="147"/>
      <c r="G6" s="131"/>
      <c r="H6" s="116">
        <f t="shared" si="0"/>
        <v>0.35813099607523763</v>
      </c>
      <c r="I6" s="116">
        <f t="shared" si="1"/>
        <v>240.66402936255969</v>
      </c>
      <c r="J6" s="116">
        <f t="shared" si="2"/>
        <v>1.8321599430929439E-3</v>
      </c>
      <c r="L6" s="36"/>
      <c r="M6" s="36" t="s">
        <v>334</v>
      </c>
      <c r="N6" s="36"/>
      <c r="O6" s="36"/>
    </row>
    <row r="7" spans="1:15" ht="15.95" customHeight="1">
      <c r="B7" s="38">
        <v>2</v>
      </c>
      <c r="C7" s="38">
        <v>125</v>
      </c>
      <c r="D7" s="38">
        <f t="shared" si="3"/>
        <v>250</v>
      </c>
      <c r="E7" s="147"/>
      <c r="F7" s="147"/>
      <c r="G7" s="131"/>
      <c r="H7" s="116">
        <f t="shared" si="0"/>
        <v>0.2238318725470235</v>
      </c>
      <c r="I7" s="116">
        <f t="shared" si="1"/>
        <v>150.4150183515998</v>
      </c>
      <c r="J7" s="116">
        <f t="shared" si="2"/>
        <v>4.2942730379641274</v>
      </c>
    </row>
    <row r="8" spans="1:15" ht="15.95" customHeight="1">
      <c r="B8" s="38">
        <v>3</v>
      </c>
      <c r="C8" s="38">
        <v>52</v>
      </c>
      <c r="D8" s="38">
        <f t="shared" si="3"/>
        <v>156</v>
      </c>
      <c r="E8" s="147"/>
      <c r="F8" s="147"/>
      <c r="G8" s="131"/>
      <c r="H8" s="116">
        <f t="shared" si="0"/>
        <v>9.3263280227926501E-2</v>
      </c>
      <c r="I8" s="116">
        <f t="shared" si="1"/>
        <v>62.672924313166611</v>
      </c>
      <c r="J8" s="116">
        <f t="shared" si="2"/>
        <v>1.8175522307749086</v>
      </c>
      <c r="L8" s="43" t="s">
        <v>65</v>
      </c>
      <c r="M8" s="44"/>
      <c r="N8" s="44"/>
      <c r="O8" s="44"/>
    </row>
    <row r="9" spans="1:15" ht="15.95" customHeight="1">
      <c r="B9" s="38">
        <v>4</v>
      </c>
      <c r="C9" s="38">
        <v>27</v>
      </c>
      <c r="D9" s="38">
        <f t="shared" si="3"/>
        <v>108</v>
      </c>
      <c r="E9" s="147"/>
      <c r="F9" s="147"/>
      <c r="G9" s="131"/>
      <c r="H9" s="116">
        <f t="shared" si="0"/>
        <v>2.9144775071227026E-2</v>
      </c>
      <c r="I9" s="116">
        <f t="shared" si="1"/>
        <v>19.585288847864561</v>
      </c>
      <c r="J9" s="116">
        <f t="shared" si="2"/>
        <v>2.8071039389136221</v>
      </c>
      <c r="L9" s="44"/>
      <c r="M9" s="44" t="s">
        <v>21</v>
      </c>
      <c r="N9" s="44"/>
      <c r="O9" s="44"/>
    </row>
    <row r="10" spans="1:15" ht="15.95" customHeight="1">
      <c r="B10" s="38">
        <v>5</v>
      </c>
      <c r="C10" s="38">
        <v>16</v>
      </c>
      <c r="D10" s="38">
        <f t="shared" si="3"/>
        <v>80</v>
      </c>
      <c r="E10" s="147"/>
      <c r="F10" s="147"/>
      <c r="G10" s="191" t="str">
        <f ca="1">_xlfn.FORMULATEXT(H10)</f>
        <v>=POISSON.DIST(B10,$D$13,FALSE)</v>
      </c>
      <c r="H10" s="116">
        <f t="shared" si="0"/>
        <v>7.2861937678067538E-3</v>
      </c>
      <c r="I10" s="116">
        <f t="shared" si="1"/>
        <v>4.8963222119661385</v>
      </c>
      <c r="J10" s="116">
        <f t="shared" si="2"/>
        <v>25.180463025730546</v>
      </c>
    </row>
    <row r="11" spans="1:15" ht="15.95" customHeight="1">
      <c r="B11" s="38">
        <v>6</v>
      </c>
      <c r="C11" s="38">
        <v>12</v>
      </c>
      <c r="D11" s="38">
        <f t="shared" si="3"/>
        <v>72</v>
      </c>
      <c r="E11" s="147" t="str">
        <f ca="1">_xlfn.FORMULATEXT(D11)</f>
        <v>=B11*C11</v>
      </c>
      <c r="F11" s="147"/>
      <c r="G11" s="191" t="str">
        <f ca="1">_xlfn.FORMULATEXT(H11)</f>
        <v>=1-SUM(H5:H10)</v>
      </c>
      <c r="H11" s="117">
        <f>1-SUM(H5:H10)</f>
        <v>1.8380854505885003E-3</v>
      </c>
      <c r="I11" s="116">
        <f t="shared" si="1"/>
        <v>1.2351934227954722</v>
      </c>
      <c r="J11" s="116">
        <f t="shared" si="2"/>
        <v>93.816125074861148</v>
      </c>
      <c r="L11" s="47" t="s">
        <v>66</v>
      </c>
      <c r="M11" s="48"/>
      <c r="N11" s="48"/>
      <c r="O11" s="48"/>
    </row>
    <row r="12" spans="1:15" ht="15.95" customHeight="1">
      <c r="H12" s="118"/>
      <c r="I12" s="192" t="str">
        <f ca="1">_xlfn.FORMULATEXT(I11)</f>
        <v>=SUM($C$5:$C$11)*H11</v>
      </c>
      <c r="L12" s="47"/>
      <c r="M12" s="119" t="s">
        <v>62</v>
      </c>
      <c r="N12" s="48">
        <v>0.05</v>
      </c>
      <c r="O12" s="48"/>
    </row>
    <row r="13" spans="1:15" ht="15.95" customHeight="1">
      <c r="C13" s="266" t="s">
        <v>22</v>
      </c>
      <c r="D13" s="267">
        <v>1.25</v>
      </c>
      <c r="E13" s="190"/>
      <c r="F13" s="190"/>
      <c r="G13" s="40"/>
      <c r="H13" s="41"/>
      <c r="J13" s="131" t="str">
        <f ca="1">_xlfn.FORMULATEXT(J11)</f>
        <v>=(C11-I11)^2/I11</v>
      </c>
    </row>
    <row r="14" spans="1:15" ht="15.95" customHeight="1">
      <c r="D14" s="40"/>
      <c r="E14" s="40"/>
      <c r="F14" s="40"/>
      <c r="L14" s="52" t="s">
        <v>67</v>
      </c>
      <c r="M14" s="53"/>
      <c r="N14" s="53"/>
      <c r="O14" s="53"/>
    </row>
    <row r="15" spans="1:15" ht="15.95" customHeight="1">
      <c r="L15" s="53"/>
      <c r="M15" s="120" t="s">
        <v>404</v>
      </c>
      <c r="N15" s="121">
        <f>SUM(J5:J11)</f>
        <v>128.20708233096383</v>
      </c>
      <c r="O15" s="60" t="str">
        <f ca="1">_xlfn.FORMULATEXT(N15)</f>
        <v>=SUM(J5:J11)</v>
      </c>
    </row>
    <row r="16" spans="1:15" ht="15.95" customHeight="1">
      <c r="D16" s="40"/>
      <c r="E16" s="40"/>
      <c r="F16" s="40"/>
      <c r="L16" s="53"/>
      <c r="M16" s="53"/>
      <c r="N16" s="53"/>
      <c r="O16" s="53"/>
    </row>
    <row r="17" spans="8:15" ht="15.95" customHeight="1">
      <c r="L17" s="53"/>
      <c r="M17" s="120" t="s">
        <v>23</v>
      </c>
      <c r="N17" s="53"/>
      <c r="O17" s="53"/>
    </row>
    <row r="18" spans="8:15" ht="15.95" customHeight="1">
      <c r="L18" s="53"/>
      <c r="M18" s="120" t="s">
        <v>24</v>
      </c>
      <c r="N18" s="53">
        <f>COUNT(B5:B11)</f>
        <v>7</v>
      </c>
      <c r="O18" s="60" t="str">
        <f ca="1">_xlfn.FORMULATEXT(N18)</f>
        <v>=COUNT(B5:B11)</v>
      </c>
    </row>
    <row r="19" spans="8:15" ht="15.95" customHeight="1">
      <c r="L19" s="53"/>
      <c r="M19" s="120" t="s">
        <v>25</v>
      </c>
      <c r="N19" s="53">
        <v>0</v>
      </c>
      <c r="O19" s="53" t="s">
        <v>214</v>
      </c>
    </row>
    <row r="20" spans="8:15" ht="15.95" customHeight="1">
      <c r="H20" s="131"/>
      <c r="L20" s="53"/>
      <c r="M20" s="120" t="s">
        <v>9</v>
      </c>
      <c r="N20" s="53">
        <f>N18-N19-1</f>
        <v>6</v>
      </c>
      <c r="O20" s="60" t="str">
        <f ca="1">_xlfn.FORMULATEXT(N20)</f>
        <v>=N18-N19-1</v>
      </c>
    </row>
    <row r="21" spans="8:15" ht="15.95" customHeight="1">
      <c r="L21" s="53"/>
      <c r="M21" s="120"/>
      <c r="N21" s="53"/>
      <c r="O21" s="54"/>
    </row>
    <row r="22" spans="8:15" ht="15.95" customHeight="1">
      <c r="L22" s="122" t="s">
        <v>54</v>
      </c>
      <c r="M22" s="120" t="s">
        <v>70</v>
      </c>
      <c r="N22" s="121">
        <f>_xlfn.CHISQ.DIST.RT(N15,N20)</f>
        <v>3.0652611575944021E-25</v>
      </c>
      <c r="O22" s="60" t="str">
        <f t="shared" ref="O22:O25" ca="1" si="4">_xlfn.FORMULATEXT(N22)</f>
        <v>=CHISQ.DIST.RT(N15,N20)</v>
      </c>
    </row>
    <row r="23" spans="8:15" ht="15.95" customHeight="1">
      <c r="L23" s="122"/>
      <c r="M23" s="120" t="s">
        <v>63</v>
      </c>
      <c r="N23" s="123">
        <f>1-_xlfn.CHISQ.DIST(N15,N20,TRUE)</f>
        <v>0</v>
      </c>
      <c r="O23" s="60" t="str">
        <f t="shared" ca="1" si="4"/>
        <v>=1-CHISQ.DIST(N15,N20,TRUE)</v>
      </c>
    </row>
    <row r="24" spans="8:15" ht="15.95" customHeight="1">
      <c r="L24" s="53"/>
      <c r="M24" s="120" t="s">
        <v>69</v>
      </c>
      <c r="N24" s="121">
        <f>_xlfn.CHISQ.TEST(C5:C11,I5:I11)</f>
        <v>3.0652611575944021E-25</v>
      </c>
      <c r="O24" s="60" t="str">
        <f t="shared" ca="1" si="4"/>
        <v>=CHISQ.TEST(C5:C11,I5:I11)</v>
      </c>
    </row>
    <row r="25" spans="8:15" ht="15.95" customHeight="1">
      <c r="L25" s="122" t="s">
        <v>55</v>
      </c>
      <c r="M25" s="120" t="s">
        <v>26</v>
      </c>
      <c r="N25" s="121">
        <f>_xlfn.CHISQ.INV.RT(N12,N20)</f>
        <v>12.591587243743978</v>
      </c>
      <c r="O25" s="60" t="str">
        <f t="shared" ca="1" si="4"/>
        <v>=CHISQ.INV.RT(N12,N20)</v>
      </c>
    </row>
    <row r="27" spans="8:15" ht="15.95" customHeight="1">
      <c r="L27" s="62" t="s">
        <v>68</v>
      </c>
      <c r="M27" s="124"/>
      <c r="N27" s="63"/>
      <c r="O27" s="63"/>
    </row>
    <row r="28" spans="8:15" ht="15.95" customHeight="1">
      <c r="L28" s="125" t="s">
        <v>54</v>
      </c>
      <c r="M28" s="63" t="s">
        <v>335</v>
      </c>
      <c r="N28" s="63"/>
      <c r="O28" s="63" t="s">
        <v>366</v>
      </c>
    </row>
    <row r="29" spans="8:15" ht="15.95" customHeight="1">
      <c r="L29" s="125" t="s">
        <v>55</v>
      </c>
      <c r="M29" s="63" t="s">
        <v>405</v>
      </c>
      <c r="N29" s="63"/>
      <c r="O29" s="63" t="s">
        <v>365</v>
      </c>
    </row>
    <row r="30" spans="8:15" ht="15.95" customHeight="1">
      <c r="L30" s="63"/>
      <c r="M30" s="63" t="s">
        <v>212</v>
      </c>
      <c r="N30" s="63"/>
      <c r="O30" s="63"/>
    </row>
    <row r="31" spans="8:15" ht="15.95" customHeight="1">
      <c r="H31" s="41"/>
      <c r="L31" s="63"/>
      <c r="M31" s="63" t="s">
        <v>213</v>
      </c>
      <c r="N31" s="63"/>
      <c r="O31" s="63"/>
    </row>
    <row r="32" spans="8:15" ht="15.95" customHeight="1">
      <c r="L32" s="63"/>
      <c r="M32" s="63"/>
      <c r="N32" s="63"/>
      <c r="O32" s="6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32"/>
  <sheetViews>
    <sheetView zoomScale="90" zoomScaleNormal="90" workbookViewId="0">
      <selection activeCell="A2" sqref="A2"/>
    </sheetView>
  </sheetViews>
  <sheetFormatPr defaultColWidth="9.140625" defaultRowHeight="15.95" customHeight="1"/>
  <cols>
    <col min="1" max="1" width="10" style="34" customWidth="1"/>
    <col min="2" max="2" width="25.42578125" style="45" customWidth="1"/>
    <col min="3" max="3" width="23.85546875" style="45" customWidth="1"/>
    <col min="4" max="4" width="4" style="34" customWidth="1"/>
    <col min="5" max="5" width="19.28515625" style="34" customWidth="1"/>
    <col min="6" max="6" width="40.85546875" style="34" customWidth="1"/>
    <col min="7" max="7" width="27" style="34" customWidth="1"/>
    <col min="8" max="8" width="19.7109375" style="34" customWidth="1"/>
    <col min="9" max="9" width="25" style="34" customWidth="1"/>
    <col min="10" max="10" width="35.42578125" style="34" customWidth="1"/>
    <col min="11" max="11" width="18.42578125" style="34" customWidth="1"/>
    <col min="12" max="12" width="52" style="34" customWidth="1"/>
    <col min="13" max="13" width="5.85546875" style="34" customWidth="1"/>
    <col min="14" max="16384" width="9.140625" style="34"/>
  </cols>
  <sheetData>
    <row r="1" spans="1:12" ht="15.95" customHeight="1">
      <c r="A1" s="33" t="s">
        <v>337</v>
      </c>
      <c r="F1" s="126"/>
      <c r="G1" s="126"/>
    </row>
    <row r="2" spans="1:12" ht="15.95" customHeight="1">
      <c r="F2" s="126"/>
      <c r="G2" s="126"/>
    </row>
    <row r="3" spans="1:12" ht="15.95" customHeight="1">
      <c r="E3" s="34" t="s">
        <v>216</v>
      </c>
      <c r="F3" s="126"/>
      <c r="G3" s="126"/>
    </row>
    <row r="4" spans="1:12" ht="30" customHeight="1">
      <c r="B4" s="114" t="s">
        <v>215</v>
      </c>
      <c r="C4" s="114" t="s">
        <v>17</v>
      </c>
      <c r="E4" s="115" t="s">
        <v>5</v>
      </c>
      <c r="G4" s="115" t="s">
        <v>20</v>
      </c>
      <c r="I4" s="35" t="s">
        <v>64</v>
      </c>
      <c r="J4" s="36"/>
      <c r="K4" s="36"/>
      <c r="L4" s="36"/>
    </row>
    <row r="5" spans="1:12" ht="15.95" customHeight="1">
      <c r="B5" s="38">
        <v>1</v>
      </c>
      <c r="C5" s="38">
        <v>2678</v>
      </c>
      <c r="D5" s="40"/>
      <c r="E5" s="116">
        <f>$C$18/COUNT($B$5:$B$16)</f>
        <v>2543.6666666666665</v>
      </c>
      <c r="F5" s="40" t="str">
        <f ca="1">_xlfn.FORMULATEXT(E5)</f>
        <v>=$C$18/COUNT($B$5:$B$16)</v>
      </c>
      <c r="G5" s="116">
        <f>(C5-E5)^2/E5</f>
        <v>7.0942646223736681</v>
      </c>
      <c r="H5" s="40" t="str">
        <f ca="1">_xlfn.FORMULATEXT(G5)</f>
        <v>=(C5-E5)^2/E5</v>
      </c>
      <c r="I5" s="36"/>
      <c r="J5" s="36" t="s">
        <v>338</v>
      </c>
      <c r="K5" s="36"/>
      <c r="L5" s="36"/>
    </row>
    <row r="6" spans="1:12" ht="15.95" customHeight="1">
      <c r="B6" s="38">
        <v>2</v>
      </c>
      <c r="C6" s="38">
        <v>2602</v>
      </c>
      <c r="E6" s="116">
        <f t="shared" ref="E6:E16" si="0">$C$18/COUNT($B$5:$B$16)</f>
        <v>2543.6666666666665</v>
      </c>
      <c r="G6" s="116">
        <f t="shared" ref="G6:G16" si="1">(C6-E6)^2/E6</f>
        <v>1.3377451622766856</v>
      </c>
      <c r="I6" s="36"/>
      <c r="J6" s="36" t="s">
        <v>339</v>
      </c>
      <c r="K6" s="36"/>
      <c r="L6" s="36"/>
    </row>
    <row r="7" spans="1:12" ht="15.95" customHeight="1">
      <c r="B7" s="38">
        <v>3</v>
      </c>
      <c r="C7" s="38">
        <v>2649</v>
      </c>
      <c r="E7" s="116">
        <f t="shared" si="0"/>
        <v>2543.6666666666665</v>
      </c>
      <c r="G7" s="116">
        <f t="shared" si="1"/>
        <v>4.3618573363036859</v>
      </c>
    </row>
    <row r="8" spans="1:12" ht="15.95" customHeight="1">
      <c r="B8" s="38">
        <v>4</v>
      </c>
      <c r="C8" s="38">
        <v>2588</v>
      </c>
      <c r="E8" s="116">
        <f t="shared" si="0"/>
        <v>2543.6666666666665</v>
      </c>
      <c r="G8" s="116">
        <f t="shared" si="1"/>
        <v>0.77268160573101485</v>
      </c>
      <c r="I8" s="43" t="s">
        <v>65</v>
      </c>
      <c r="J8" s="44"/>
      <c r="K8" s="44"/>
      <c r="L8" s="44"/>
    </row>
    <row r="9" spans="1:12" ht="15.95" customHeight="1">
      <c r="B9" s="38">
        <v>5</v>
      </c>
      <c r="C9" s="38">
        <v>2530</v>
      </c>
      <c r="E9" s="116">
        <f t="shared" si="0"/>
        <v>2543.6666666666665</v>
      </c>
      <c r="G9" s="116">
        <f t="shared" si="1"/>
        <v>7.3428558948148454E-2</v>
      </c>
      <c r="I9" s="44"/>
      <c r="J9" s="44" t="s">
        <v>21</v>
      </c>
      <c r="K9" s="44"/>
      <c r="L9" s="44"/>
    </row>
    <row r="10" spans="1:12" ht="15.95" customHeight="1">
      <c r="B10" s="38">
        <v>6</v>
      </c>
      <c r="C10" s="38">
        <v>2397</v>
      </c>
      <c r="E10" s="116">
        <f t="shared" si="0"/>
        <v>2543.6666666666665</v>
      </c>
      <c r="G10" s="116">
        <f t="shared" si="1"/>
        <v>8.4567334993229206</v>
      </c>
    </row>
    <row r="11" spans="1:12" ht="15.95" customHeight="1">
      <c r="B11" s="38">
        <v>7</v>
      </c>
      <c r="C11" s="38">
        <v>2410</v>
      </c>
      <c r="D11" s="40"/>
      <c r="E11" s="116">
        <f t="shared" si="0"/>
        <v>2543.6666666666665</v>
      </c>
      <c r="G11" s="116">
        <f t="shared" si="1"/>
        <v>7.0240248110776067</v>
      </c>
      <c r="I11" s="47" t="s">
        <v>66</v>
      </c>
      <c r="J11" s="48"/>
      <c r="K11" s="48"/>
      <c r="L11" s="48"/>
    </row>
    <row r="12" spans="1:12" ht="15.95" customHeight="1">
      <c r="B12" s="38">
        <v>8</v>
      </c>
      <c r="C12" s="38">
        <v>2350</v>
      </c>
      <c r="E12" s="116">
        <f t="shared" si="0"/>
        <v>2543.6666666666665</v>
      </c>
      <c r="F12" s="127"/>
      <c r="G12" s="116">
        <f t="shared" si="1"/>
        <v>14.745162276678437</v>
      </c>
      <c r="I12" s="47"/>
      <c r="J12" s="119" t="s">
        <v>62</v>
      </c>
      <c r="K12" s="48">
        <v>0.05</v>
      </c>
      <c r="L12" s="48"/>
    </row>
    <row r="13" spans="1:12" ht="15.95" customHeight="1">
      <c r="B13" s="38">
        <v>9</v>
      </c>
      <c r="C13" s="38">
        <v>2495</v>
      </c>
      <c r="D13" s="40"/>
      <c r="E13" s="116">
        <f t="shared" si="0"/>
        <v>2543.6666666666665</v>
      </c>
      <c r="F13" s="128"/>
      <c r="G13" s="116">
        <f t="shared" si="1"/>
        <v>0.93111431441924908</v>
      </c>
    </row>
    <row r="14" spans="1:12" ht="15.95" customHeight="1">
      <c r="B14" s="38">
        <v>10</v>
      </c>
      <c r="C14" s="38">
        <v>2558</v>
      </c>
      <c r="E14" s="116">
        <f t="shared" si="0"/>
        <v>2543.6666666666665</v>
      </c>
      <c r="F14" s="129"/>
      <c r="G14" s="116">
        <f t="shared" si="1"/>
        <v>8.0767046695498154E-2</v>
      </c>
      <c r="I14" s="52" t="s">
        <v>67</v>
      </c>
      <c r="J14" s="53"/>
      <c r="K14" s="53"/>
      <c r="L14" s="53"/>
    </row>
    <row r="15" spans="1:12" ht="15.95" customHeight="1">
      <c r="B15" s="38">
        <v>11</v>
      </c>
      <c r="C15" s="38">
        <v>2602</v>
      </c>
      <c r="E15" s="116">
        <f t="shared" si="0"/>
        <v>2543.6666666666665</v>
      </c>
      <c r="F15" s="129"/>
      <c r="G15" s="116">
        <f t="shared" si="1"/>
        <v>1.3377451622766856</v>
      </c>
      <c r="I15" s="53"/>
      <c r="J15" s="120" t="s">
        <v>404</v>
      </c>
      <c r="K15" s="121">
        <f>SUM(G5:G16)</f>
        <v>52.003145066177431</v>
      </c>
      <c r="L15" s="60" t="str">
        <f ca="1">_xlfn.FORMULATEXT(K15)</f>
        <v>=SUM(G5:G16)</v>
      </c>
    </row>
    <row r="16" spans="1:12" ht="15.95" customHeight="1">
      <c r="B16" s="38">
        <v>12</v>
      </c>
      <c r="C16" s="38">
        <v>2665</v>
      </c>
      <c r="E16" s="116">
        <f t="shared" si="0"/>
        <v>2543.6666666666665</v>
      </c>
      <c r="F16" s="129"/>
      <c r="G16" s="116">
        <f t="shared" si="1"/>
        <v>5.787620670073836</v>
      </c>
      <c r="I16" s="53"/>
      <c r="J16" s="53"/>
      <c r="K16" s="53"/>
      <c r="L16" s="53"/>
    </row>
    <row r="17" spans="2:12" ht="15.95" customHeight="1">
      <c r="B17" s="130"/>
      <c r="C17" s="130"/>
      <c r="E17" s="126"/>
      <c r="F17" s="126"/>
      <c r="G17" s="126"/>
      <c r="I17" s="53"/>
      <c r="J17" s="120" t="s">
        <v>23</v>
      </c>
      <c r="K17" s="53"/>
      <c r="L17" s="53"/>
    </row>
    <row r="18" spans="2:12" ht="15.95" customHeight="1">
      <c r="B18" s="131" t="s">
        <v>147</v>
      </c>
      <c r="C18" s="45">
        <f>SUM(C5:C16)</f>
        <v>30524</v>
      </c>
      <c r="F18" s="126"/>
      <c r="G18" s="126"/>
      <c r="I18" s="53"/>
      <c r="J18" s="120" t="s">
        <v>24</v>
      </c>
      <c r="K18" s="53">
        <f>COUNT(B5:B16)</f>
        <v>12</v>
      </c>
      <c r="L18" s="60" t="str">
        <f ca="1">_xlfn.FORMULATEXT(K18)</f>
        <v>=COUNT(B5:B16)</v>
      </c>
    </row>
    <row r="19" spans="2:12" ht="15.95" customHeight="1">
      <c r="C19" s="132" t="str">
        <f ca="1">_xlfn.FORMULATEXT(C18)</f>
        <v>=SUM(C5:C16)</v>
      </c>
      <c r="F19" s="126"/>
      <c r="G19" s="126"/>
      <c r="I19" s="53"/>
      <c r="J19" s="120" t="s">
        <v>25</v>
      </c>
      <c r="K19" s="53">
        <v>0</v>
      </c>
      <c r="L19" s="53" t="s">
        <v>71</v>
      </c>
    </row>
    <row r="20" spans="2:12" ht="15.95" customHeight="1">
      <c r="C20" s="133"/>
      <c r="F20" s="126"/>
      <c r="G20" s="126"/>
      <c r="I20" s="53"/>
      <c r="J20" s="120" t="s">
        <v>9</v>
      </c>
      <c r="K20" s="53">
        <f>K18-K19-1</f>
        <v>11</v>
      </c>
      <c r="L20" s="60" t="str">
        <f ca="1">_xlfn.FORMULATEXT(K20)</f>
        <v>=K18-K19-1</v>
      </c>
    </row>
    <row r="21" spans="2:12" ht="15.95" customHeight="1">
      <c r="I21" s="53"/>
      <c r="J21" s="120"/>
      <c r="K21" s="53"/>
      <c r="L21" s="54"/>
    </row>
    <row r="22" spans="2:12" ht="15.95" customHeight="1">
      <c r="I22" s="122" t="s">
        <v>54</v>
      </c>
      <c r="J22" s="120" t="s">
        <v>70</v>
      </c>
      <c r="K22" s="121">
        <f>_xlfn.CHISQ.DIST.RT(K15,K20)</f>
        <v>2.7228570357150085E-7</v>
      </c>
      <c r="L22" s="60" t="str">
        <f t="shared" ref="L22:L25" ca="1" si="2">_xlfn.FORMULATEXT(K22)</f>
        <v>=CHISQ.DIST.RT(K15,K20)</v>
      </c>
    </row>
    <row r="23" spans="2:12" ht="15.95" customHeight="1">
      <c r="I23" s="122"/>
      <c r="J23" s="120" t="s">
        <v>63</v>
      </c>
      <c r="K23" s="123">
        <f>1-_xlfn.CHISQ.DIST(K15,K20,TRUE)</f>
        <v>2.7228570353976522E-7</v>
      </c>
      <c r="L23" s="60" t="str">
        <f t="shared" ca="1" si="2"/>
        <v>=1-CHISQ.DIST(K15,K20,TRUE)</v>
      </c>
    </row>
    <row r="24" spans="2:12" ht="15.95" customHeight="1">
      <c r="I24" s="53"/>
      <c r="J24" s="120" t="s">
        <v>69</v>
      </c>
      <c r="K24" s="121">
        <f>_xlfn.CHISQ.TEST(C5:C16,E5:E16)</f>
        <v>2.7228570357150085E-7</v>
      </c>
      <c r="L24" s="60" t="str">
        <f t="shared" ca="1" si="2"/>
        <v>=CHISQ.TEST(C5:C16,E5:E16)</v>
      </c>
    </row>
    <row r="25" spans="2:12" ht="15.95" customHeight="1">
      <c r="I25" s="122" t="s">
        <v>55</v>
      </c>
      <c r="J25" s="120" t="s">
        <v>26</v>
      </c>
      <c r="K25" s="121">
        <f>_xlfn.CHISQ.INV.RT(K12,K20)</f>
        <v>19.675137572682498</v>
      </c>
      <c r="L25" s="60" t="str">
        <f t="shared" ca="1" si="2"/>
        <v>=CHISQ.INV.RT(K12,K20)</v>
      </c>
    </row>
    <row r="27" spans="2:12" ht="15.95" customHeight="1">
      <c r="I27" s="62" t="s">
        <v>68</v>
      </c>
      <c r="J27" s="124"/>
      <c r="K27" s="63"/>
      <c r="L27" s="63"/>
    </row>
    <row r="28" spans="2:12" ht="15.95" customHeight="1">
      <c r="I28" s="125" t="s">
        <v>54</v>
      </c>
      <c r="J28" s="63" t="s">
        <v>335</v>
      </c>
      <c r="K28" s="63"/>
      <c r="L28" s="63" t="s">
        <v>368</v>
      </c>
    </row>
    <row r="29" spans="2:12" ht="15.95" customHeight="1">
      <c r="I29" s="125" t="s">
        <v>55</v>
      </c>
      <c r="J29" s="63" t="s">
        <v>405</v>
      </c>
      <c r="K29" s="63"/>
      <c r="L29" s="63" t="s">
        <v>367</v>
      </c>
    </row>
    <row r="30" spans="2:12" ht="15.95" customHeight="1">
      <c r="I30" s="63"/>
      <c r="J30" s="63" t="s">
        <v>212</v>
      </c>
      <c r="K30" s="63"/>
      <c r="L30" s="63"/>
    </row>
    <row r="31" spans="2:12" ht="15.95" customHeight="1">
      <c r="E31" s="41"/>
      <c r="I31" s="63"/>
      <c r="J31" s="63" t="s">
        <v>217</v>
      </c>
      <c r="K31" s="63"/>
      <c r="L31" s="63"/>
    </row>
    <row r="32" spans="2:12" ht="15.95" customHeight="1">
      <c r="I32" s="63"/>
      <c r="J32" s="63" t="s">
        <v>218</v>
      </c>
      <c r="K32" s="63"/>
      <c r="L32" s="6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27"/>
  <sheetViews>
    <sheetView workbookViewId="0">
      <selection activeCell="A2" sqref="A2"/>
    </sheetView>
  </sheetViews>
  <sheetFormatPr defaultRowHeight="15"/>
  <cols>
    <col min="2" max="2" width="30.42578125" customWidth="1"/>
    <col min="3" max="3" width="22" customWidth="1"/>
    <col min="4" max="4" width="63.5703125" customWidth="1"/>
    <col min="5" max="5" width="16.28515625" customWidth="1"/>
    <col min="6" max="6" width="27.42578125" customWidth="1"/>
    <col min="7" max="7" width="21.28515625" customWidth="1"/>
  </cols>
  <sheetData>
    <row r="1" spans="1:7">
      <c r="A1" s="2" t="s">
        <v>340</v>
      </c>
    </row>
    <row r="2" spans="1:7" ht="18.75">
      <c r="B2" t="s">
        <v>219</v>
      </c>
      <c r="D2" s="6"/>
      <c r="E2" s="6"/>
    </row>
    <row r="3" spans="1:7">
      <c r="D3" s="6"/>
    </row>
    <row r="4" spans="1:7">
      <c r="B4" t="s">
        <v>220</v>
      </c>
    </row>
    <row r="5" spans="1:7" ht="17.25">
      <c r="B5" s="4" t="s">
        <v>78</v>
      </c>
      <c r="C5" s="9">
        <f>C8^2</f>
        <v>64</v>
      </c>
      <c r="D5" s="1" t="str">
        <f ca="1">_xlfn.FORMULATEXT(C5)</f>
        <v>=C8^2</v>
      </c>
    </row>
    <row r="6" spans="1:7" ht="17.25">
      <c r="B6" s="4" t="s">
        <v>79</v>
      </c>
      <c r="C6">
        <f>C5</f>
        <v>64</v>
      </c>
      <c r="D6" s="1" t="str">
        <f ca="1">_xlfn.FORMULATEXT(C6)</f>
        <v>=C5</v>
      </c>
      <c r="E6" s="279"/>
    </row>
    <row r="7" spans="1:7">
      <c r="D7" s="6"/>
    </row>
    <row r="8" spans="1:7">
      <c r="B8" s="3" t="s">
        <v>221</v>
      </c>
      <c r="C8" s="6">
        <v>8</v>
      </c>
    </row>
    <row r="9" spans="1:7">
      <c r="B9" s="4" t="s">
        <v>72</v>
      </c>
      <c r="C9" s="6">
        <v>25</v>
      </c>
    </row>
    <row r="10" spans="1:7">
      <c r="B10" s="4" t="s">
        <v>77</v>
      </c>
      <c r="C10" s="277">
        <v>4</v>
      </c>
    </row>
    <row r="11" spans="1:7" ht="17.25">
      <c r="B11" s="4" t="s">
        <v>73</v>
      </c>
      <c r="C11" s="278">
        <f>C10^2</f>
        <v>16</v>
      </c>
      <c r="D11" s="1" t="str">
        <f t="shared" ref="D11" ca="1" si="0">_xlfn.FORMULATEXT(C11)</f>
        <v>=C10^2</v>
      </c>
      <c r="E11" s="4"/>
      <c r="G11" s="1"/>
    </row>
    <row r="12" spans="1:7">
      <c r="B12" s="4" t="s">
        <v>76</v>
      </c>
      <c r="C12" s="5">
        <f>(C9-1)*C11/C5</f>
        <v>6</v>
      </c>
      <c r="D12" s="1" t="str">
        <f t="shared" ref="D12" ca="1" si="1">_xlfn.FORMULATEXT(C12)</f>
        <v>=(C9-1)*C11/C5</v>
      </c>
    </row>
    <row r="13" spans="1:7">
      <c r="B13" s="4" t="s">
        <v>74</v>
      </c>
      <c r="C13" s="6">
        <v>0.05</v>
      </c>
    </row>
    <row r="14" spans="1:7">
      <c r="B14" s="4" t="s">
        <v>75</v>
      </c>
      <c r="C14">
        <f>C9-1</f>
        <v>24</v>
      </c>
      <c r="D14" s="1" t="str">
        <f ca="1">_xlfn.FORMULATEXT(C14)</f>
        <v>=C9-1</v>
      </c>
    </row>
    <row r="15" spans="1:7">
      <c r="B15" s="4" t="s">
        <v>82</v>
      </c>
      <c r="C15">
        <f>_xlfn.CHISQ.INV(C13,C14)</f>
        <v>13.848425027170213</v>
      </c>
      <c r="D15" s="1" t="str">
        <f t="shared" ref="D15" ca="1" si="2">_xlfn.FORMULATEXT(C15)</f>
        <v>=CHISQ.INV(C13,C14)</v>
      </c>
    </row>
    <row r="16" spans="1:7">
      <c r="B16" s="4" t="s">
        <v>70</v>
      </c>
      <c r="C16">
        <f>IF(C12-C15&lt;0,_xlfn.CHISQ.DIST(C12,C14,TRUE),_xlfn.CHISQ.DIST.RT(C12,C14))</f>
        <v>7.138662897420674E-5</v>
      </c>
      <c r="D16" s="1" t="str">
        <f ca="1">_xlfn.FORMULATEXT(C16)</f>
        <v>=IF(C12-C15&lt;0,CHISQ.DIST(C12,C14,TRUE),CHISQ.DIST.RT(C12,C14))</v>
      </c>
    </row>
    <row r="18" spans="2:4">
      <c r="B18" s="4" t="s">
        <v>80</v>
      </c>
      <c r="C18" t="str">
        <f>IF(C12&lt;C15,"reject null hypothesis","do not reject null hypothesis")</f>
        <v>reject null hypothesis</v>
      </c>
      <c r="D18" s="1" t="str">
        <f t="shared" ref="D18" ca="1" si="3">_xlfn.FORMULATEXT(C18)</f>
        <v>=IF(C12&lt;C15,"reject null hypothesis","do not reject null hypothesis")</v>
      </c>
    </row>
    <row r="20" spans="2:4">
      <c r="B20" s="4" t="s">
        <v>80</v>
      </c>
      <c r="C20" t="str">
        <f>IF(C16&lt;C13,"reject null hypothesis","do not reject null hypothesis")</f>
        <v>reject null hypothesis</v>
      </c>
      <c r="D20" s="1" t="str">
        <f ca="1">_xlfn.FORMULATEXT(C20)</f>
        <v>=IF(C16&lt;C13,"reject null hypothesis","do not reject null hypothesis")</v>
      </c>
    </row>
    <row r="27" spans="2:4">
      <c r="B27" s="8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86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43"/>
  <sheetViews>
    <sheetView workbookViewId="0">
      <selection activeCell="A2" sqref="A2"/>
    </sheetView>
  </sheetViews>
  <sheetFormatPr defaultColWidth="9.140625" defaultRowHeight="15"/>
  <cols>
    <col min="1" max="1" width="13" style="11" customWidth="1"/>
    <col min="2" max="2" width="12.85546875" style="11" customWidth="1"/>
    <col min="3" max="3" width="16.7109375" style="11" customWidth="1"/>
    <col min="4" max="4" width="11.7109375" style="11" customWidth="1"/>
    <col min="5" max="5" width="29.28515625" style="11" customWidth="1"/>
    <col min="6" max="6" width="24.5703125" style="11" customWidth="1"/>
    <col min="7" max="7" width="30.140625" style="11" customWidth="1"/>
    <col min="8" max="8" width="14.42578125" style="11" customWidth="1"/>
    <col min="9" max="9" width="39" style="11" customWidth="1"/>
    <col min="10" max="16384" width="9.140625" style="11"/>
  </cols>
  <sheetData>
    <row r="1" spans="1:11">
      <c r="A1" s="10" t="s">
        <v>341</v>
      </c>
    </row>
    <row r="3" spans="1:11" ht="18">
      <c r="A3" s="22" t="s">
        <v>222</v>
      </c>
      <c r="B3" s="22" t="s">
        <v>40</v>
      </c>
      <c r="C3" s="22" t="s">
        <v>223</v>
      </c>
      <c r="D3" s="22" t="s">
        <v>28</v>
      </c>
      <c r="E3" s="24"/>
      <c r="F3" s="170" t="s">
        <v>64</v>
      </c>
      <c r="G3" s="170" t="s">
        <v>284</v>
      </c>
      <c r="H3" s="170"/>
      <c r="I3" s="170"/>
    </row>
    <row r="4" spans="1:11" ht="18">
      <c r="A4" s="22">
        <v>1</v>
      </c>
      <c r="B4" s="82">
        <v>9.4</v>
      </c>
      <c r="C4" s="82">
        <f>B4-22</f>
        <v>-12.6</v>
      </c>
      <c r="D4" s="83" t="str">
        <f t="shared" ref="D4:D23" si="0">IF(C4&lt;0,"-",IF(C4&gt;0,"+","0"))</f>
        <v>-</v>
      </c>
      <c r="E4" s="23" t="s">
        <v>161</v>
      </c>
      <c r="F4" s="170"/>
      <c r="G4" s="170" t="s">
        <v>285</v>
      </c>
      <c r="H4" s="170"/>
      <c r="I4" s="170"/>
    </row>
    <row r="5" spans="1:11">
      <c r="A5" s="22">
        <v>2</v>
      </c>
      <c r="B5" s="82">
        <v>13.4</v>
      </c>
      <c r="C5" s="82">
        <f t="shared" ref="C5:C23" si="1">B5-22</f>
        <v>-8.6</v>
      </c>
      <c r="D5" s="83" t="str">
        <f t="shared" si="0"/>
        <v>-</v>
      </c>
      <c r="E5" s="24"/>
      <c r="F5" s="170"/>
      <c r="G5" s="170" t="s">
        <v>29</v>
      </c>
      <c r="H5" s="170"/>
      <c r="I5" s="170"/>
    </row>
    <row r="6" spans="1:11">
      <c r="A6" s="22">
        <v>3</v>
      </c>
      <c r="B6" s="82">
        <v>15.6</v>
      </c>
      <c r="C6" s="82">
        <f t="shared" si="1"/>
        <v>-6.4</v>
      </c>
      <c r="D6" s="83" t="str">
        <f t="shared" si="0"/>
        <v>-</v>
      </c>
      <c r="E6" s="24"/>
      <c r="F6" s="171" t="s">
        <v>65</v>
      </c>
      <c r="G6" s="172" t="s">
        <v>27</v>
      </c>
      <c r="H6" s="171"/>
      <c r="I6" s="171"/>
    </row>
    <row r="7" spans="1:11">
      <c r="A7" s="22">
        <v>4</v>
      </c>
      <c r="B7" s="82">
        <v>16.2</v>
      </c>
      <c r="C7" s="82">
        <f t="shared" si="1"/>
        <v>-5.8000000000000007</v>
      </c>
      <c r="D7" s="83" t="str">
        <f t="shared" si="0"/>
        <v>-</v>
      </c>
      <c r="E7" s="24"/>
      <c r="F7" s="171"/>
      <c r="G7" s="171"/>
      <c r="H7" s="171"/>
      <c r="I7" s="171"/>
    </row>
    <row r="8" spans="1:11">
      <c r="A8" s="22">
        <v>5</v>
      </c>
      <c r="B8" s="82">
        <v>16.399999999999999</v>
      </c>
      <c r="C8" s="82">
        <f t="shared" si="1"/>
        <v>-5.6000000000000014</v>
      </c>
      <c r="D8" s="83" t="str">
        <f t="shared" si="0"/>
        <v>-</v>
      </c>
      <c r="E8" s="24"/>
      <c r="F8" s="173" t="s">
        <v>361</v>
      </c>
      <c r="G8" s="174" t="s">
        <v>158</v>
      </c>
      <c r="H8" s="175">
        <v>0.05</v>
      </c>
      <c r="I8" s="176"/>
      <c r="K8" s="10" t="s">
        <v>238</v>
      </c>
    </row>
    <row r="9" spans="1:11">
      <c r="A9" s="22">
        <v>6</v>
      </c>
      <c r="B9" s="82">
        <v>16.8</v>
      </c>
      <c r="C9" s="82">
        <f t="shared" si="1"/>
        <v>-5.1999999999999993</v>
      </c>
      <c r="D9" s="83" t="str">
        <f t="shared" si="0"/>
        <v>-</v>
      </c>
      <c r="E9" s="24"/>
      <c r="F9" s="173" t="s">
        <v>362</v>
      </c>
      <c r="G9" s="173"/>
      <c r="H9" s="173"/>
      <c r="I9" s="173"/>
    </row>
    <row r="10" spans="1:11">
      <c r="A10" s="22">
        <v>7</v>
      </c>
      <c r="B10" s="82">
        <v>18.100000000000001</v>
      </c>
      <c r="C10" s="82">
        <f t="shared" si="1"/>
        <v>-3.8999999999999986</v>
      </c>
      <c r="D10" s="83" t="str">
        <f t="shared" si="0"/>
        <v>-</v>
      </c>
      <c r="E10" s="24"/>
      <c r="F10" s="177" t="s">
        <v>363</v>
      </c>
      <c r="G10" s="178" t="s">
        <v>30</v>
      </c>
      <c r="H10" s="179">
        <f>MEDIAN(C4:C23)</f>
        <v>-2.7999999999999989</v>
      </c>
      <c r="I10" s="180" t="str">
        <f ca="1">_xlfn.FORMULATEXT(H10)</f>
        <v>=MEDIAN(C4:C23)</v>
      </c>
    </row>
    <row r="11" spans="1:11">
      <c r="A11" s="22">
        <v>8</v>
      </c>
      <c r="B11" s="82">
        <v>18.7</v>
      </c>
      <c r="C11" s="82">
        <f t="shared" si="1"/>
        <v>-3.3000000000000007</v>
      </c>
      <c r="D11" s="83" t="str">
        <f t="shared" si="0"/>
        <v>-</v>
      </c>
      <c r="E11" s="24"/>
      <c r="F11" s="177" t="s">
        <v>364</v>
      </c>
      <c r="G11" s="178" t="s">
        <v>31</v>
      </c>
      <c r="H11" s="181">
        <v>0.5</v>
      </c>
      <c r="I11" s="177"/>
    </row>
    <row r="12" spans="1:11">
      <c r="A12" s="22">
        <v>9</v>
      </c>
      <c r="B12" s="82">
        <v>18.899999999999999</v>
      </c>
      <c r="C12" s="82">
        <f t="shared" si="1"/>
        <v>-3.1000000000000014</v>
      </c>
      <c r="D12" s="83" t="str">
        <f t="shared" si="0"/>
        <v>-</v>
      </c>
      <c r="E12" s="24"/>
      <c r="F12" s="177"/>
      <c r="G12" s="178" t="s">
        <v>32</v>
      </c>
      <c r="H12" s="181">
        <f>COUNT(A4:A23)</f>
        <v>20</v>
      </c>
      <c r="I12" s="180" t="str">
        <f t="shared" ref="I12:I17" ca="1" si="2">_xlfn.FORMULATEXT(H12)</f>
        <v>=COUNT(A4:A23)</v>
      </c>
    </row>
    <row r="13" spans="1:11" ht="18">
      <c r="A13" s="22">
        <v>10</v>
      </c>
      <c r="B13" s="82">
        <v>19.100000000000001</v>
      </c>
      <c r="C13" s="82">
        <f t="shared" si="1"/>
        <v>-2.8999999999999986</v>
      </c>
      <c r="D13" s="83" t="str">
        <f t="shared" si="0"/>
        <v>-</v>
      </c>
      <c r="E13" s="24"/>
      <c r="F13" s="177"/>
      <c r="G13" s="178" t="s">
        <v>279</v>
      </c>
      <c r="H13" s="181">
        <f>COUNTIF(D4:D23,"-")</f>
        <v>15</v>
      </c>
      <c r="I13" s="180" t="str">
        <f t="shared" ca="1" si="2"/>
        <v>=COUNTIF(D4:D23,"-")</v>
      </c>
    </row>
    <row r="14" spans="1:11" ht="18">
      <c r="A14" s="22">
        <v>11</v>
      </c>
      <c r="B14" s="82">
        <v>19.3</v>
      </c>
      <c r="C14" s="82">
        <f t="shared" si="1"/>
        <v>-2.6999999999999993</v>
      </c>
      <c r="D14" s="83" t="str">
        <f t="shared" si="0"/>
        <v>-</v>
      </c>
      <c r="E14" s="24"/>
      <c r="F14" s="177"/>
      <c r="G14" s="178" t="s">
        <v>280</v>
      </c>
      <c r="H14" s="181">
        <f>COUNTIF(D4:D23,"+")</f>
        <v>5</v>
      </c>
      <c r="I14" s="180" t="str">
        <f t="shared" ca="1" si="2"/>
        <v>=COUNTIF(D4:D23,"+")</v>
      </c>
    </row>
    <row r="15" spans="1:11" ht="18">
      <c r="A15" s="22">
        <v>12</v>
      </c>
      <c r="B15" s="82">
        <v>20.100000000000001</v>
      </c>
      <c r="C15" s="82">
        <f t="shared" si="1"/>
        <v>-1.8999999999999986</v>
      </c>
      <c r="D15" s="83" t="str">
        <f t="shared" si="0"/>
        <v>-</v>
      </c>
      <c r="E15" s="24"/>
      <c r="F15" s="177"/>
      <c r="G15" s="178" t="s">
        <v>281</v>
      </c>
      <c r="H15" s="181">
        <f>COUNTIF(D4:D23,"=0")</f>
        <v>0</v>
      </c>
      <c r="I15" s="180" t="str">
        <f t="shared" ca="1" si="2"/>
        <v>=COUNTIF(D4:D23,"=0")</v>
      </c>
    </row>
    <row r="16" spans="1:11">
      <c r="A16" s="22">
        <v>13</v>
      </c>
      <c r="B16" s="82">
        <v>20.399999999999999</v>
      </c>
      <c r="C16" s="82">
        <f t="shared" si="1"/>
        <v>-1.6000000000000014</v>
      </c>
      <c r="D16" s="83" t="str">
        <f t="shared" si="0"/>
        <v>-</v>
      </c>
      <c r="E16" s="24"/>
      <c r="F16" s="177"/>
      <c r="G16" s="178" t="s">
        <v>159</v>
      </c>
      <c r="H16" s="181">
        <f>MAX(H13,H14)</f>
        <v>15</v>
      </c>
      <c r="I16" s="180" t="str">
        <f t="shared" ca="1" si="2"/>
        <v>=MAX(H13,H14)</v>
      </c>
    </row>
    <row r="17" spans="1:9">
      <c r="A17" s="22">
        <v>14</v>
      </c>
      <c r="B17" s="82">
        <v>21.6</v>
      </c>
      <c r="C17" s="82">
        <f t="shared" si="1"/>
        <v>-0.39999999999999858</v>
      </c>
      <c r="D17" s="83" t="str">
        <f t="shared" si="0"/>
        <v>-</v>
      </c>
      <c r="E17" s="24"/>
      <c r="F17" s="177"/>
      <c r="G17" s="178" t="s">
        <v>33</v>
      </c>
      <c r="H17" s="181">
        <f>H12-H15</f>
        <v>20</v>
      </c>
      <c r="I17" s="180" t="str">
        <f t="shared" ca="1" si="2"/>
        <v>=H12-H15</v>
      </c>
    </row>
    <row r="18" spans="1:9">
      <c r="A18" s="22">
        <v>15</v>
      </c>
      <c r="B18" s="82">
        <v>21.9</v>
      </c>
      <c r="C18" s="82">
        <f t="shared" si="1"/>
        <v>-0.10000000000000142</v>
      </c>
      <c r="D18" s="83" t="str">
        <f t="shared" si="0"/>
        <v>-</v>
      </c>
      <c r="E18" s="24"/>
      <c r="F18" s="177"/>
      <c r="G18" s="182" t="s">
        <v>162</v>
      </c>
      <c r="H18" s="177"/>
      <c r="I18" s="183"/>
    </row>
    <row r="19" spans="1:9">
      <c r="A19" s="22">
        <v>16</v>
      </c>
      <c r="B19" s="82">
        <v>23.4</v>
      </c>
      <c r="C19" s="82">
        <f t="shared" si="1"/>
        <v>1.3999999999999986</v>
      </c>
      <c r="D19" s="83" t="str">
        <f t="shared" si="0"/>
        <v>+</v>
      </c>
      <c r="E19" s="24"/>
      <c r="F19" s="177"/>
      <c r="G19" s="177"/>
      <c r="H19" s="177"/>
      <c r="I19" s="183"/>
    </row>
    <row r="20" spans="1:9">
      <c r="A20" s="22">
        <v>17</v>
      </c>
      <c r="B20" s="82">
        <v>23.5</v>
      </c>
      <c r="C20" s="82">
        <f t="shared" si="1"/>
        <v>1.5</v>
      </c>
      <c r="D20" s="83" t="str">
        <f t="shared" si="0"/>
        <v>+</v>
      </c>
      <c r="E20" s="24"/>
      <c r="F20" s="177"/>
      <c r="G20" s="178" t="s">
        <v>227</v>
      </c>
      <c r="H20" s="184">
        <f>_xlfn.BINOM.DIST(15,$H$17,$H$11,FALSE)</f>
        <v>1.4785766601562502E-2</v>
      </c>
      <c r="I20" s="180" t="str">
        <f t="shared" ref="I20:I25" ca="1" si="3">_xlfn.FORMULATEXT(H20)</f>
        <v>=BINOM.DIST(15,$H$17,$H$11,FALSE)</v>
      </c>
    </row>
    <row r="21" spans="1:9">
      <c r="A21" s="22">
        <v>18</v>
      </c>
      <c r="B21" s="82">
        <v>24.8</v>
      </c>
      <c r="C21" s="82">
        <f t="shared" si="1"/>
        <v>2.8000000000000007</v>
      </c>
      <c r="D21" s="83" t="str">
        <f t="shared" si="0"/>
        <v>+</v>
      </c>
      <c r="E21" s="24"/>
      <c r="F21" s="177"/>
      <c r="G21" s="178" t="s">
        <v>37</v>
      </c>
      <c r="H21" s="185">
        <f>_xlfn.BINOM.DIST(16,$H$17,$H$11,FALSE)</f>
        <v>4.6205520629882752E-3</v>
      </c>
      <c r="I21" s="180" t="str">
        <f t="shared" ca="1" si="3"/>
        <v>=BINOM.DIST(16,$H$17,$H$11,FALSE)</v>
      </c>
    </row>
    <row r="22" spans="1:9">
      <c r="A22" s="22">
        <v>19</v>
      </c>
      <c r="B22" s="82">
        <v>24.9</v>
      </c>
      <c r="C22" s="82">
        <f t="shared" si="1"/>
        <v>2.8999999999999986</v>
      </c>
      <c r="D22" s="83" t="str">
        <f t="shared" si="0"/>
        <v>+</v>
      </c>
      <c r="E22" s="24"/>
      <c r="F22" s="177"/>
      <c r="G22" s="178" t="s">
        <v>228</v>
      </c>
      <c r="H22" s="184">
        <f>_xlfn.BINOM.DIST(17,$H$17,$H$11,FALSE)</f>
        <v>1.0871887207031261E-3</v>
      </c>
      <c r="I22" s="180" t="str">
        <f t="shared" ca="1" si="3"/>
        <v>=BINOM.DIST(17,$H$17,$H$11,FALSE)</v>
      </c>
    </row>
    <row r="23" spans="1:9">
      <c r="A23" s="22">
        <v>20</v>
      </c>
      <c r="B23" s="82">
        <v>26.8</v>
      </c>
      <c r="C23" s="82">
        <f t="shared" si="1"/>
        <v>4.8000000000000007</v>
      </c>
      <c r="D23" s="83" t="str">
        <f t="shared" si="0"/>
        <v>+</v>
      </c>
      <c r="E23" s="24"/>
      <c r="F23" s="177"/>
      <c r="G23" s="178" t="s">
        <v>229</v>
      </c>
      <c r="H23" s="184">
        <f>_xlfn.BINOM.DIST(18,$H$17,$H$11,FALSE)</f>
        <v>1.8119812011718753E-4</v>
      </c>
      <c r="I23" s="180" t="str">
        <f t="shared" ca="1" si="3"/>
        <v>=BINOM.DIST(18,$H$17,$H$11,FALSE)</v>
      </c>
    </row>
    <row r="24" spans="1:9">
      <c r="A24" s="24"/>
      <c r="B24" s="89"/>
      <c r="C24" s="89"/>
      <c r="D24" s="91"/>
      <c r="E24" s="24"/>
      <c r="F24" s="177"/>
      <c r="G24" s="178" t="s">
        <v>230</v>
      </c>
      <c r="H24" s="184">
        <f>_xlfn.BINOM.DIST(19,$H$17,$H$11,FALSE)</f>
        <v>1.9073486328125E-5</v>
      </c>
      <c r="I24" s="180" t="str">
        <f t="shared" ca="1" si="3"/>
        <v>=BINOM.DIST(19,$H$17,$H$11,FALSE)</v>
      </c>
    </row>
    <row r="25" spans="1:9">
      <c r="A25" s="24"/>
      <c r="B25" s="89"/>
      <c r="D25" s="91"/>
      <c r="E25" s="24"/>
      <c r="F25" s="177"/>
      <c r="G25" s="178" t="s">
        <v>231</v>
      </c>
      <c r="H25" s="184">
        <f>_xlfn.BINOM.DIST(20,$H$17,$H$11,FALSE)</f>
        <v>9.5367431640625E-7</v>
      </c>
      <c r="I25" s="180" t="str">
        <f t="shared" ca="1" si="3"/>
        <v>=BINOM.DIST(20,$H$17,$H$11,FALSE)</v>
      </c>
    </row>
    <row r="26" spans="1:9">
      <c r="A26" s="24"/>
      <c r="B26" s="89"/>
      <c r="C26" s="90"/>
      <c r="D26" s="91"/>
      <c r="E26" s="24"/>
      <c r="F26" s="177"/>
      <c r="G26" s="177"/>
      <c r="H26" s="177"/>
      <c r="I26" s="177"/>
    </row>
    <row r="27" spans="1:9">
      <c r="A27" s="24"/>
      <c r="B27" s="89"/>
      <c r="C27" s="89"/>
      <c r="D27" s="91"/>
      <c r="E27" s="24"/>
      <c r="F27" s="177"/>
      <c r="G27" s="178" t="s">
        <v>38</v>
      </c>
      <c r="H27" s="179">
        <f>SUM(H20:H25)</f>
        <v>2.0694732666015622E-2</v>
      </c>
      <c r="I27" s="180" t="str">
        <f ca="1">_xlfn.FORMULATEXT(H27)</f>
        <v>=SUM(H20:H25)</v>
      </c>
    </row>
    <row r="28" spans="1:9">
      <c r="A28" s="24"/>
      <c r="B28" s="89"/>
      <c r="C28" s="89"/>
      <c r="D28" s="91"/>
      <c r="E28" s="24"/>
      <c r="F28" s="177"/>
      <c r="G28" s="177"/>
      <c r="H28" s="177"/>
      <c r="I28" s="177"/>
    </row>
    <row r="29" spans="1:9">
      <c r="A29" s="24"/>
      <c r="B29" s="89"/>
      <c r="D29" s="91"/>
      <c r="E29" s="24"/>
      <c r="F29" s="177"/>
      <c r="G29" s="178" t="s">
        <v>241</v>
      </c>
      <c r="H29" s="181">
        <f>2*H27</f>
        <v>4.1389465332031243E-2</v>
      </c>
      <c r="I29" s="180" t="str">
        <f ca="1">_xlfn.FORMULATEXT(H29)</f>
        <v>=2*H27</v>
      </c>
    </row>
    <row r="30" spans="1:9">
      <c r="A30" s="24"/>
      <c r="B30" s="89"/>
      <c r="C30" s="89"/>
      <c r="D30" s="91"/>
      <c r="E30" s="24"/>
      <c r="F30" s="186" t="s">
        <v>360</v>
      </c>
      <c r="G30" s="187"/>
      <c r="H30" s="188"/>
      <c r="I30" s="189"/>
    </row>
    <row r="31" spans="1:9" ht="18">
      <c r="A31" s="24"/>
      <c r="B31" s="89"/>
      <c r="C31" s="89"/>
      <c r="D31" s="91"/>
      <c r="E31" s="24"/>
      <c r="F31" s="186"/>
      <c r="G31" s="186" t="s">
        <v>342</v>
      </c>
      <c r="H31" s="186"/>
      <c r="I31" s="189"/>
    </row>
    <row r="32" spans="1:9">
      <c r="A32" s="24"/>
      <c r="B32" s="89"/>
      <c r="C32" s="89"/>
      <c r="D32" s="91"/>
      <c r="E32" s="24"/>
      <c r="I32" s="15"/>
    </row>
    <row r="33" spans="1:5">
      <c r="A33" s="24"/>
      <c r="B33" s="89"/>
      <c r="C33" s="89"/>
      <c r="D33" s="91"/>
      <c r="E33" s="24"/>
    </row>
    <row r="34" spans="1:5">
      <c r="A34" s="24"/>
      <c r="B34" s="89"/>
      <c r="C34" s="89"/>
      <c r="D34" s="91"/>
      <c r="E34" s="24"/>
    </row>
    <row r="35" spans="1:5">
      <c r="A35" s="24"/>
      <c r="B35" s="89"/>
      <c r="C35" s="89"/>
      <c r="D35" s="91"/>
      <c r="E35" s="24"/>
    </row>
    <row r="36" spans="1:5">
      <c r="A36" s="24"/>
      <c r="B36" s="89"/>
      <c r="C36" s="89"/>
      <c r="D36" s="91"/>
      <c r="E36" s="24"/>
    </row>
    <row r="37" spans="1:5">
      <c r="A37" s="24"/>
      <c r="B37" s="89"/>
      <c r="C37" s="89"/>
      <c r="D37" s="91"/>
      <c r="E37" s="24"/>
    </row>
    <row r="38" spans="1:5">
      <c r="A38" s="24"/>
      <c r="B38" s="89"/>
      <c r="C38" s="89"/>
      <c r="D38" s="91"/>
      <c r="E38" s="24"/>
    </row>
    <row r="39" spans="1:5">
      <c r="A39" s="24"/>
      <c r="B39" s="89"/>
      <c r="C39" s="89"/>
      <c r="D39" s="91"/>
      <c r="E39" s="24"/>
    </row>
    <row r="40" spans="1:5">
      <c r="A40" s="24"/>
      <c r="B40" s="89"/>
      <c r="C40" s="89"/>
      <c r="D40" s="91"/>
      <c r="E40" s="24"/>
    </row>
    <row r="41" spans="1:5">
      <c r="A41" s="24"/>
      <c r="B41" s="89"/>
      <c r="C41" s="89"/>
      <c r="D41" s="91"/>
      <c r="E41" s="24"/>
    </row>
    <row r="42" spans="1:5">
      <c r="A42" s="24"/>
      <c r="B42" s="89"/>
      <c r="C42" s="89"/>
      <c r="D42" s="91"/>
      <c r="E42" s="24"/>
    </row>
    <row r="43" spans="1:5">
      <c r="A43" s="24"/>
      <c r="B43" s="89"/>
      <c r="C43" s="89"/>
      <c r="D43" s="91"/>
      <c r="E43" s="24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N38"/>
  <sheetViews>
    <sheetView zoomScale="80" zoomScaleNormal="80" workbookViewId="0">
      <selection activeCell="A2" sqref="A2"/>
    </sheetView>
  </sheetViews>
  <sheetFormatPr defaultColWidth="9.140625" defaultRowHeight="15"/>
  <cols>
    <col min="1" max="1" width="18.28515625" style="34" customWidth="1"/>
    <col min="2" max="2" width="14.85546875" style="34" customWidth="1"/>
    <col min="3" max="3" width="15.5703125" style="34" customWidth="1"/>
    <col min="4" max="4" width="19.5703125" style="134" customWidth="1"/>
    <col min="5" max="5" width="15.140625" style="34" customWidth="1"/>
    <col min="6" max="6" width="13.28515625" style="134" customWidth="1"/>
    <col min="7" max="7" width="14.42578125" style="34" customWidth="1"/>
    <col min="8" max="8" width="48.7109375" style="134" customWidth="1"/>
    <col min="9" max="9" width="27" style="34" customWidth="1"/>
    <col min="10" max="10" width="31.5703125" style="34" customWidth="1"/>
    <col min="11" max="11" width="20.5703125" style="34" customWidth="1"/>
    <col min="12" max="12" width="43.5703125" style="34" customWidth="1"/>
    <col min="13" max="13" width="4.140625" style="34" customWidth="1"/>
    <col min="14" max="16384" width="9.140625" style="34"/>
  </cols>
  <sheetData>
    <row r="1" spans="1:14">
      <c r="A1" s="33" t="s">
        <v>351</v>
      </c>
      <c r="D1" s="34"/>
    </row>
    <row r="3" spans="1:14" ht="18">
      <c r="A3" s="135" t="s">
        <v>40</v>
      </c>
      <c r="B3" s="135" t="s">
        <v>41</v>
      </c>
      <c r="C3" s="135" t="s">
        <v>345</v>
      </c>
      <c r="E3" s="135" t="s">
        <v>240</v>
      </c>
      <c r="G3" s="135" t="s">
        <v>43</v>
      </c>
      <c r="I3" s="35" t="s">
        <v>64</v>
      </c>
      <c r="J3" s="36"/>
      <c r="K3" s="36"/>
      <c r="L3" s="36"/>
      <c r="N3" s="33" t="s">
        <v>238</v>
      </c>
    </row>
    <row r="4" spans="1:14" ht="18">
      <c r="A4" s="136">
        <v>20.2</v>
      </c>
      <c r="B4" s="136">
        <v>22.8</v>
      </c>
      <c r="C4" s="49">
        <f>A4-B4-$K$7</f>
        <v>-2.6000000000000014</v>
      </c>
      <c r="D4" s="137" t="str">
        <f ca="1">_xlfn.FORMULATEXT(C4)</f>
        <v>=A4-B4-$K$7</v>
      </c>
      <c r="E4" s="49">
        <f>ABS(C4)</f>
        <v>2.6000000000000014</v>
      </c>
      <c r="F4" s="137" t="str">
        <f ca="1">_xlfn.FORMULATEXT(E4)</f>
        <v>=ABS(C4)</v>
      </c>
      <c r="G4" s="38">
        <f>_xlfn.RANK.AVG(E4,$E$4:$E$20,1)</f>
        <v>8.5</v>
      </c>
      <c r="H4" s="137" t="str">
        <f ca="1">_xlfn.FORMULATEXT(G4)</f>
        <v>=RANK.AVG(E4,$E$4:$E$20,1)</v>
      </c>
      <c r="I4" s="36"/>
      <c r="J4" s="36" t="s">
        <v>346</v>
      </c>
      <c r="K4" s="36"/>
      <c r="L4" s="36"/>
    </row>
    <row r="5" spans="1:14" ht="18">
      <c r="A5" s="136">
        <v>19.5</v>
      </c>
      <c r="B5" s="136">
        <v>14.2</v>
      </c>
      <c r="C5" s="49">
        <f t="shared" ref="C5:C20" si="0">A5-B5-$K$7</f>
        <v>5.3000000000000007</v>
      </c>
      <c r="D5" s="138"/>
      <c r="E5" s="49">
        <f t="shared" ref="E5:E20" si="1">ABS(C5)</f>
        <v>5.3000000000000007</v>
      </c>
      <c r="F5" s="132"/>
      <c r="G5" s="38">
        <f t="shared" ref="G5:G20" si="2">_xlfn.RANK.AVG(E5,$E$4:$E$20,1)</f>
        <v>17</v>
      </c>
      <c r="H5" s="132"/>
      <c r="I5" s="36"/>
      <c r="J5" s="36" t="s">
        <v>347</v>
      </c>
      <c r="K5" s="36"/>
      <c r="L5" s="36"/>
    </row>
    <row r="6" spans="1:14">
      <c r="A6" s="136">
        <v>18.600000000000001</v>
      </c>
      <c r="B6" s="136">
        <v>14.1</v>
      </c>
      <c r="C6" s="49">
        <f t="shared" si="0"/>
        <v>4.5000000000000018</v>
      </c>
      <c r="D6" s="138"/>
      <c r="E6" s="49">
        <f t="shared" si="1"/>
        <v>4.5000000000000018</v>
      </c>
      <c r="F6" s="132"/>
      <c r="G6" s="38">
        <f t="shared" si="2"/>
        <v>15</v>
      </c>
      <c r="H6" s="132"/>
      <c r="I6" s="36"/>
      <c r="J6" s="36" t="s">
        <v>81</v>
      </c>
      <c r="K6" s="36"/>
      <c r="L6" s="36"/>
    </row>
    <row r="7" spans="1:14" ht="18">
      <c r="A7" s="136">
        <v>20.9</v>
      </c>
      <c r="B7" s="136">
        <v>16.100000000000001</v>
      </c>
      <c r="C7" s="49">
        <f t="shared" si="0"/>
        <v>4.7999999999999972</v>
      </c>
      <c r="D7" s="138"/>
      <c r="E7" s="49">
        <f t="shared" si="1"/>
        <v>4.7999999999999972</v>
      </c>
      <c r="F7" s="132"/>
      <c r="G7" s="38">
        <f t="shared" si="2"/>
        <v>16</v>
      </c>
      <c r="H7" s="132"/>
      <c r="I7" s="36"/>
      <c r="J7" s="139" t="s">
        <v>348</v>
      </c>
      <c r="K7" s="140">
        <v>0</v>
      </c>
      <c r="L7" s="36"/>
    </row>
    <row r="8" spans="1:14">
      <c r="A8" s="136">
        <v>23.1</v>
      </c>
      <c r="B8" s="136">
        <v>25.2</v>
      </c>
      <c r="C8" s="49">
        <f t="shared" si="0"/>
        <v>-2.0999999999999979</v>
      </c>
      <c r="D8" s="138"/>
      <c r="E8" s="49">
        <f t="shared" si="1"/>
        <v>2.0999999999999979</v>
      </c>
      <c r="F8" s="132"/>
      <c r="G8" s="38">
        <f t="shared" si="2"/>
        <v>7</v>
      </c>
      <c r="H8" s="132"/>
      <c r="I8" s="36"/>
      <c r="J8" s="139" t="s">
        <v>44</v>
      </c>
      <c r="K8" s="141">
        <f>MEDIAN(C4:C13)</f>
        <v>2.4000000000000004</v>
      </c>
      <c r="L8" s="169" t="str">
        <f ca="1">_xlfn.FORMULATEXT(K8)</f>
        <v>=MEDIAN(C4:C13)</v>
      </c>
    </row>
    <row r="9" spans="1:14">
      <c r="A9" s="136">
        <v>18.600000000000001</v>
      </c>
      <c r="B9" s="136">
        <v>20.2</v>
      </c>
      <c r="C9" s="49">
        <f t="shared" si="0"/>
        <v>-1.5999999999999979</v>
      </c>
      <c r="D9" s="138"/>
      <c r="E9" s="49">
        <f t="shared" si="1"/>
        <v>1.5999999999999979</v>
      </c>
      <c r="F9" s="132"/>
      <c r="G9" s="38">
        <f t="shared" si="2"/>
        <v>4</v>
      </c>
      <c r="H9" s="132"/>
    </row>
    <row r="10" spans="1:14">
      <c r="A10" s="136">
        <v>19.600000000000001</v>
      </c>
      <c r="B10" s="136">
        <v>16.7</v>
      </c>
      <c r="C10" s="49">
        <f t="shared" si="0"/>
        <v>2.9000000000000021</v>
      </c>
      <c r="D10" s="138"/>
      <c r="E10" s="49">
        <f t="shared" si="1"/>
        <v>2.9000000000000021</v>
      </c>
      <c r="F10" s="132"/>
      <c r="G10" s="38">
        <f t="shared" si="2"/>
        <v>11</v>
      </c>
      <c r="H10" s="132"/>
      <c r="I10" s="43" t="s">
        <v>65</v>
      </c>
      <c r="J10" s="44"/>
      <c r="K10" s="44"/>
      <c r="L10" s="44"/>
    </row>
    <row r="11" spans="1:14">
      <c r="A11" s="136">
        <v>23.2</v>
      </c>
      <c r="B11" s="136">
        <v>21.3</v>
      </c>
      <c r="C11" s="49">
        <f t="shared" si="0"/>
        <v>1.8999999999999986</v>
      </c>
      <c r="D11" s="138"/>
      <c r="E11" s="49">
        <f t="shared" si="1"/>
        <v>1.8999999999999986</v>
      </c>
      <c r="F11" s="132"/>
      <c r="G11" s="38">
        <f t="shared" si="2"/>
        <v>6</v>
      </c>
      <c r="H11" s="132"/>
      <c r="I11" s="44"/>
      <c r="J11" s="44" t="s">
        <v>45</v>
      </c>
      <c r="K11" s="44"/>
      <c r="L11" s="44"/>
    </row>
    <row r="12" spans="1:14">
      <c r="A12" s="136">
        <v>21.8</v>
      </c>
      <c r="B12" s="136">
        <v>18.7</v>
      </c>
      <c r="C12" s="49">
        <f t="shared" si="0"/>
        <v>3.1000000000000014</v>
      </c>
      <c r="D12" s="138"/>
      <c r="E12" s="49">
        <f t="shared" si="1"/>
        <v>3.1000000000000014</v>
      </c>
      <c r="F12" s="132"/>
      <c r="G12" s="38">
        <f t="shared" si="2"/>
        <v>12</v>
      </c>
      <c r="H12" s="132"/>
    </row>
    <row r="13" spans="1:14">
      <c r="A13" s="136">
        <v>20.3</v>
      </c>
      <c r="B13" s="136">
        <v>20.9</v>
      </c>
      <c r="C13" s="49">
        <f t="shared" si="0"/>
        <v>-0.59999999999999787</v>
      </c>
      <c r="D13" s="138"/>
      <c r="E13" s="49">
        <f t="shared" si="1"/>
        <v>0.59999999999999787</v>
      </c>
      <c r="F13" s="132"/>
      <c r="G13" s="38">
        <f t="shared" si="2"/>
        <v>1</v>
      </c>
      <c r="H13" s="132"/>
      <c r="I13" s="47" t="s">
        <v>66</v>
      </c>
      <c r="J13" s="142"/>
      <c r="K13" s="48"/>
      <c r="L13" s="48"/>
    </row>
    <row r="14" spans="1:14">
      <c r="A14" s="136">
        <v>19.2</v>
      </c>
      <c r="B14" s="136">
        <v>22.6</v>
      </c>
      <c r="C14" s="49">
        <f t="shared" si="0"/>
        <v>-3.4000000000000021</v>
      </c>
      <c r="D14" s="143"/>
      <c r="E14" s="49">
        <f t="shared" si="1"/>
        <v>3.4000000000000021</v>
      </c>
      <c r="F14" s="144"/>
      <c r="G14" s="38">
        <f t="shared" si="2"/>
        <v>13.5</v>
      </c>
      <c r="H14" s="132"/>
      <c r="I14" s="48"/>
      <c r="J14" s="50" t="s">
        <v>343</v>
      </c>
      <c r="K14" s="51">
        <v>0.05</v>
      </c>
      <c r="L14" s="48"/>
    </row>
    <row r="15" spans="1:14">
      <c r="A15" s="136">
        <v>19.5</v>
      </c>
      <c r="B15" s="136">
        <v>16.899999999999999</v>
      </c>
      <c r="C15" s="49">
        <f t="shared" si="0"/>
        <v>2.6000000000000014</v>
      </c>
      <c r="D15" s="143"/>
      <c r="E15" s="49">
        <f t="shared" si="1"/>
        <v>2.6000000000000014</v>
      </c>
      <c r="F15" s="144"/>
      <c r="G15" s="38">
        <f t="shared" si="2"/>
        <v>8.5</v>
      </c>
      <c r="H15" s="132"/>
      <c r="J15" s="145"/>
    </row>
    <row r="16" spans="1:14">
      <c r="A16" s="136">
        <v>18.7</v>
      </c>
      <c r="B16" s="136">
        <v>21.4</v>
      </c>
      <c r="C16" s="49">
        <f t="shared" si="0"/>
        <v>-2.6999999999999993</v>
      </c>
      <c r="D16" s="146"/>
      <c r="E16" s="49">
        <f t="shared" si="1"/>
        <v>2.6999999999999993</v>
      </c>
      <c r="F16" s="147"/>
      <c r="G16" s="38">
        <f t="shared" si="2"/>
        <v>10</v>
      </c>
      <c r="H16" s="132"/>
      <c r="I16" s="52" t="s">
        <v>67</v>
      </c>
      <c r="J16" s="148"/>
      <c r="K16" s="53"/>
      <c r="L16" s="53"/>
    </row>
    <row r="17" spans="1:13">
      <c r="A17" s="136">
        <v>17.2</v>
      </c>
      <c r="B17" s="136">
        <v>18.5</v>
      </c>
      <c r="C17" s="49">
        <f t="shared" si="0"/>
        <v>-1.3000000000000007</v>
      </c>
      <c r="D17" s="146"/>
      <c r="E17" s="49">
        <f t="shared" si="1"/>
        <v>1.3000000000000007</v>
      </c>
      <c r="F17" s="147"/>
      <c r="G17" s="38">
        <f t="shared" si="2"/>
        <v>3</v>
      </c>
      <c r="H17" s="132"/>
      <c r="I17" s="53"/>
      <c r="J17" s="55" t="s">
        <v>24</v>
      </c>
      <c r="K17" s="58">
        <f>COUNT(A4:A20)</f>
        <v>17</v>
      </c>
      <c r="L17" s="54" t="str">
        <f ca="1">_xlfn.FORMULATEXT(K17)</f>
        <v>=COUNT(A4:A20)</v>
      </c>
    </row>
    <row r="18" spans="1:13" ht="18">
      <c r="A18" s="136">
        <v>21.6</v>
      </c>
      <c r="B18" s="136">
        <v>23.4</v>
      </c>
      <c r="C18" s="49">
        <f t="shared" si="0"/>
        <v>-1.7999999999999972</v>
      </c>
      <c r="D18" s="146"/>
      <c r="E18" s="49">
        <f t="shared" si="1"/>
        <v>1.7999999999999972</v>
      </c>
      <c r="F18" s="147"/>
      <c r="G18" s="38">
        <f t="shared" si="2"/>
        <v>5</v>
      </c>
      <c r="H18" s="132"/>
      <c r="I18" s="53"/>
      <c r="J18" s="55" t="s">
        <v>290</v>
      </c>
      <c r="K18" s="58">
        <f>COUNTIF(E4:E20,"0")</f>
        <v>0</v>
      </c>
      <c r="L18" s="54" t="str">
        <f t="shared" ref="L18:L27" ca="1" si="3">_xlfn.FORMULATEXT(K18)</f>
        <v>=COUNTIF(E4:E20,"0")</v>
      </c>
    </row>
    <row r="19" spans="1:13">
      <c r="A19" s="136">
        <v>22.4</v>
      </c>
      <c r="B19" s="136">
        <v>21.3</v>
      </c>
      <c r="C19" s="49">
        <f t="shared" si="0"/>
        <v>1.0999999999999979</v>
      </c>
      <c r="D19" s="146"/>
      <c r="E19" s="49">
        <f t="shared" si="1"/>
        <v>1.0999999999999979</v>
      </c>
      <c r="F19" s="147"/>
      <c r="G19" s="38">
        <f t="shared" si="2"/>
        <v>2</v>
      </c>
      <c r="H19" s="132"/>
      <c r="I19" s="53"/>
      <c r="J19" s="55" t="s">
        <v>46</v>
      </c>
      <c r="K19" s="58">
        <f>K17-K18</f>
        <v>17</v>
      </c>
      <c r="L19" s="54" t="str">
        <f t="shared" ca="1" si="3"/>
        <v>=K17-K18</v>
      </c>
    </row>
    <row r="20" spans="1:13">
      <c r="A20" s="136">
        <v>20.8</v>
      </c>
      <c r="B20" s="136">
        <v>17.399999999999999</v>
      </c>
      <c r="C20" s="49">
        <f t="shared" si="0"/>
        <v>3.4000000000000021</v>
      </c>
      <c r="D20" s="146"/>
      <c r="E20" s="49">
        <f t="shared" si="1"/>
        <v>3.4000000000000021</v>
      </c>
      <c r="F20" s="137" t="str">
        <f ca="1">_xlfn.FORMULATEXT(E20)</f>
        <v>=ABS(C20)</v>
      </c>
      <c r="G20" s="38">
        <f t="shared" si="2"/>
        <v>13.5</v>
      </c>
      <c r="H20" s="137" t="str">
        <f ca="1">_xlfn.FORMULATEXT(G20)</f>
        <v>=RANK.AVG(E20,$E$4:$E$20,1)</v>
      </c>
      <c r="I20" s="53"/>
      <c r="J20" s="55" t="s">
        <v>47</v>
      </c>
      <c r="K20" s="58">
        <f>SUMIF(C4:C20,"&lt;0",G4:G20)</f>
        <v>52</v>
      </c>
      <c r="L20" s="54" t="str">
        <f t="shared" ca="1" si="3"/>
        <v>=SUMIF(C4:C20,"&lt;0",G4:G20)</v>
      </c>
    </row>
    <row r="21" spans="1:13">
      <c r="A21" s="149"/>
      <c r="B21" s="149"/>
      <c r="C21" s="149"/>
      <c r="D21" s="146"/>
      <c r="E21" s="130"/>
      <c r="F21" s="147"/>
      <c r="G21" s="130"/>
      <c r="I21" s="53"/>
      <c r="J21" s="55" t="s">
        <v>48</v>
      </c>
      <c r="K21" s="58">
        <f>SUMIF(C4:C20,"&gt;0",G4:G20)</f>
        <v>101</v>
      </c>
      <c r="L21" s="54" t="str">
        <f t="shared" ca="1" si="3"/>
        <v>=SUMIF(C4:C20,"&gt;0",G4:G20)</v>
      </c>
    </row>
    <row r="22" spans="1:13">
      <c r="A22" s="149"/>
      <c r="B22" s="149"/>
      <c r="C22" s="149"/>
      <c r="D22" s="146"/>
      <c r="E22" s="130"/>
      <c r="F22" s="147"/>
      <c r="G22" s="130"/>
      <c r="I22" s="53"/>
      <c r="J22" s="55" t="s">
        <v>239</v>
      </c>
      <c r="K22" s="58">
        <f>MIN(K20,K21)</f>
        <v>52</v>
      </c>
      <c r="L22" s="54" t="str">
        <f t="shared" ca="1" si="3"/>
        <v>=MIN(K20,K21)</v>
      </c>
    </row>
    <row r="23" spans="1:13">
      <c r="A23" s="149"/>
      <c r="B23" s="149"/>
      <c r="C23" s="149"/>
      <c r="D23" s="146"/>
      <c r="E23" s="130"/>
      <c r="F23" s="147"/>
      <c r="G23" s="130"/>
      <c r="I23" s="53"/>
      <c r="J23" s="55" t="s">
        <v>384</v>
      </c>
      <c r="K23" s="58">
        <f>K19*(K19+1)/4</f>
        <v>76.5</v>
      </c>
      <c r="L23" s="54" t="str">
        <f t="shared" ca="1" si="3"/>
        <v>=K19*(K19+1)/4</v>
      </c>
    </row>
    <row r="24" spans="1:13">
      <c r="A24" s="149"/>
      <c r="B24" s="149"/>
      <c r="C24" s="149"/>
      <c r="D24" s="146"/>
      <c r="E24" s="130"/>
      <c r="F24" s="144"/>
      <c r="G24" s="130"/>
      <c r="H24" s="132"/>
      <c r="I24" s="53"/>
      <c r="J24" s="55" t="s">
        <v>344</v>
      </c>
      <c r="K24" s="58">
        <f>SQRT((K19*(K19+1)*(2*K19+1)/24))</f>
        <v>21.124630174277609</v>
      </c>
      <c r="L24" s="54" t="str">
        <f t="shared" ca="1" si="3"/>
        <v>=SQRT((K19*(K19+1)*(2*K19+1)/24))</v>
      </c>
    </row>
    <row r="25" spans="1:13" ht="18">
      <c r="A25" s="149"/>
      <c r="B25" s="149"/>
      <c r="C25" s="149"/>
      <c r="D25" s="147"/>
      <c r="E25" s="130"/>
      <c r="F25" s="147"/>
      <c r="G25" s="130"/>
      <c r="I25" s="53"/>
      <c r="J25" s="55" t="s">
        <v>385</v>
      </c>
      <c r="K25" s="58">
        <f>(K22-K23)/K24</f>
        <v>-1.1597836174113196</v>
      </c>
      <c r="L25" s="54" t="str">
        <f t="shared" ca="1" si="3"/>
        <v>=(K22-K23)/K24</v>
      </c>
    </row>
    <row r="26" spans="1:13">
      <c r="A26" s="149"/>
      <c r="B26" s="149"/>
      <c r="C26" s="149"/>
      <c r="D26" s="147"/>
      <c r="E26" s="130"/>
      <c r="F26" s="147"/>
      <c r="G26" s="130"/>
      <c r="I26" s="122" t="s">
        <v>54</v>
      </c>
      <c r="J26" s="55" t="s">
        <v>70</v>
      </c>
      <c r="K26" s="268">
        <f>2*_xlfn.NORM.DIST(K22,K23,K24,TRUE)</f>
        <v>0.24613691576742627</v>
      </c>
      <c r="L26" s="54" t="str">
        <f t="shared" ca="1" si="3"/>
        <v>=2*NORM.DIST(K22,K23,K24,TRUE)</v>
      </c>
    </row>
    <row r="27" spans="1:13" ht="18">
      <c r="A27" s="149"/>
      <c r="B27" s="149"/>
      <c r="C27" s="149"/>
      <c r="D27" s="150"/>
      <c r="E27" s="130"/>
      <c r="F27" s="147"/>
      <c r="G27" s="130"/>
      <c r="H27" s="132"/>
      <c r="I27" s="122" t="s">
        <v>55</v>
      </c>
      <c r="J27" s="55" t="s">
        <v>297</v>
      </c>
      <c r="K27" s="58">
        <f>_xlfn.NORM.S.INV(1-K14/2)</f>
        <v>1.9599639845400536</v>
      </c>
      <c r="L27" s="54" t="str">
        <f t="shared" ca="1" si="3"/>
        <v>=NORM.S.INV(1-K14/2)</v>
      </c>
    </row>
    <row r="28" spans="1:13">
      <c r="I28" s="62" t="s">
        <v>68</v>
      </c>
      <c r="J28" s="63"/>
      <c r="K28" s="63"/>
      <c r="L28" s="63"/>
      <c r="M28" s="40"/>
    </row>
    <row r="29" spans="1:13" ht="18">
      <c r="C29" s="151"/>
      <c r="I29" s="63"/>
      <c r="J29" s="63" t="s">
        <v>349</v>
      </c>
      <c r="K29" s="63"/>
      <c r="L29" s="63"/>
    </row>
    <row r="30" spans="1:13" ht="18">
      <c r="I30" s="63"/>
      <c r="J30" s="63" t="s">
        <v>350</v>
      </c>
      <c r="K30" s="63"/>
      <c r="L30" s="63"/>
      <c r="M30" s="40"/>
    </row>
    <row r="31" spans="1:13">
      <c r="M31" s="40"/>
    </row>
    <row r="34" spans="8:13">
      <c r="H34" s="152"/>
    </row>
    <row r="35" spans="8:13">
      <c r="H35" s="152"/>
    </row>
    <row r="38" spans="8:13">
      <c r="L38" s="40"/>
      <c r="M38" s="40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L59"/>
  <sheetViews>
    <sheetView zoomScale="90" zoomScaleNormal="90" workbookViewId="0">
      <selection activeCell="A2" sqref="A2"/>
    </sheetView>
  </sheetViews>
  <sheetFormatPr defaultColWidth="9.140625" defaultRowHeight="15"/>
  <cols>
    <col min="1" max="1" width="17.5703125" style="34" customWidth="1"/>
    <col min="2" max="2" width="24.5703125" style="34" customWidth="1"/>
    <col min="3" max="3" width="19.85546875" style="34" customWidth="1"/>
    <col min="4" max="4" width="37" style="34" customWidth="1"/>
    <col min="5" max="5" width="13.5703125" style="34" customWidth="1"/>
    <col min="6" max="6" width="26.28515625" style="34" customWidth="1"/>
    <col min="7" max="7" width="31" style="34" customWidth="1"/>
    <col min="8" max="8" width="11.5703125" style="34" customWidth="1"/>
    <col min="9" max="9" width="45.5703125" style="34" customWidth="1"/>
    <col min="10" max="16384" width="9.140625" style="34"/>
  </cols>
  <sheetData>
    <row r="1" spans="1:12" ht="18.75" customHeight="1">
      <c r="A1" s="33" t="s">
        <v>352</v>
      </c>
    </row>
    <row r="2" spans="1:12" ht="19.5" customHeight="1"/>
    <row r="3" spans="1:12" ht="33.75" customHeight="1">
      <c r="A3" s="153" t="s">
        <v>50</v>
      </c>
      <c r="B3" s="153" t="s">
        <v>235</v>
      </c>
      <c r="C3" s="38" t="s">
        <v>43</v>
      </c>
      <c r="F3" s="35" t="s">
        <v>64</v>
      </c>
      <c r="G3" s="154"/>
      <c r="H3" s="36"/>
      <c r="I3" s="36"/>
    </row>
    <row r="4" spans="1:12" ht="18">
      <c r="A4" s="38">
        <v>1</v>
      </c>
      <c r="B4" s="38">
        <v>7</v>
      </c>
      <c r="C4" s="38">
        <f>_xlfn.RANK.AVG(B4,$B$4:$B$25,1)</f>
        <v>3</v>
      </c>
      <c r="D4" s="40" t="str">
        <f ca="1">_xlfn.FORMULATEXT(C4)</f>
        <v>=RANK.AVG(B4,$B$4:$B$25,1)</v>
      </c>
      <c r="F4" s="35"/>
      <c r="G4" s="154" t="s">
        <v>353</v>
      </c>
      <c r="H4" s="36"/>
      <c r="I4" s="36"/>
    </row>
    <row r="5" spans="1:12" ht="18">
      <c r="A5" s="38">
        <v>1</v>
      </c>
      <c r="B5" s="38">
        <v>8</v>
      </c>
      <c r="C5" s="38">
        <f t="shared" ref="C5:C25" si="0">_xlfn.RANK.AVG(B5,$B$4:$B$25,1)</f>
        <v>4</v>
      </c>
      <c r="F5" s="155"/>
      <c r="G5" s="154" t="s">
        <v>354</v>
      </c>
      <c r="H5" s="36"/>
      <c r="I5" s="36"/>
    </row>
    <row r="6" spans="1:12">
      <c r="A6" s="38">
        <v>1</v>
      </c>
      <c r="B6" s="38">
        <v>12</v>
      </c>
      <c r="C6" s="38">
        <f t="shared" si="0"/>
        <v>14</v>
      </c>
      <c r="F6" s="156"/>
      <c r="G6" s="36" t="s">
        <v>61</v>
      </c>
      <c r="H6" s="36"/>
      <c r="I6" s="36"/>
    </row>
    <row r="7" spans="1:12">
      <c r="A7" s="38">
        <v>1</v>
      </c>
      <c r="B7" s="38">
        <v>10</v>
      </c>
      <c r="C7" s="38">
        <f t="shared" si="0"/>
        <v>9</v>
      </c>
    </row>
    <row r="8" spans="1:12">
      <c r="A8" s="38">
        <v>1</v>
      </c>
      <c r="B8" s="38">
        <v>9</v>
      </c>
      <c r="C8" s="38">
        <f t="shared" si="0"/>
        <v>6.5</v>
      </c>
      <c r="F8" s="43" t="s">
        <v>65</v>
      </c>
      <c r="G8" s="44"/>
      <c r="H8" s="44"/>
      <c r="I8" s="44"/>
    </row>
    <row r="9" spans="1:12">
      <c r="A9" s="38">
        <v>1</v>
      </c>
      <c r="B9" s="38">
        <v>13</v>
      </c>
      <c r="C9" s="38">
        <f t="shared" si="0"/>
        <v>17</v>
      </c>
      <c r="F9" s="44"/>
      <c r="G9" s="44" t="s">
        <v>49</v>
      </c>
      <c r="H9" s="44"/>
      <c r="I9" s="44"/>
    </row>
    <row r="10" spans="1:12">
      <c r="A10" s="38">
        <v>1</v>
      </c>
      <c r="B10" s="38">
        <v>11</v>
      </c>
      <c r="C10" s="38">
        <f t="shared" si="0"/>
        <v>11</v>
      </c>
    </row>
    <row r="11" spans="1:12">
      <c r="A11" s="38">
        <v>1</v>
      </c>
      <c r="B11" s="38">
        <v>9</v>
      </c>
      <c r="C11" s="38">
        <f t="shared" si="0"/>
        <v>6.5</v>
      </c>
      <c r="F11" s="47" t="s">
        <v>66</v>
      </c>
      <c r="G11" s="48"/>
      <c r="H11" s="48"/>
      <c r="I11" s="48"/>
    </row>
    <row r="12" spans="1:12">
      <c r="A12" s="38">
        <v>1</v>
      </c>
      <c r="B12" s="38">
        <v>5</v>
      </c>
      <c r="C12" s="38">
        <f t="shared" si="0"/>
        <v>1</v>
      </c>
      <c r="F12" s="157"/>
      <c r="G12" s="158" t="s">
        <v>355</v>
      </c>
      <c r="H12" s="51">
        <v>0.05</v>
      </c>
      <c r="I12" s="48"/>
    </row>
    <row r="13" spans="1:12">
      <c r="A13" s="38">
        <v>1</v>
      </c>
      <c r="B13" s="38">
        <v>14</v>
      </c>
      <c r="C13" s="38">
        <f t="shared" si="0"/>
        <v>19.5</v>
      </c>
    </row>
    <row r="14" spans="1:12">
      <c r="A14" s="38">
        <v>1</v>
      </c>
      <c r="B14" s="38">
        <v>13</v>
      </c>
      <c r="C14" s="38">
        <f t="shared" si="0"/>
        <v>17</v>
      </c>
      <c r="F14" s="52" t="s">
        <v>67</v>
      </c>
      <c r="G14" s="53"/>
      <c r="H14" s="53"/>
      <c r="I14" s="53"/>
      <c r="L14" s="33" t="s">
        <v>238</v>
      </c>
    </row>
    <row r="15" spans="1:12">
      <c r="A15" s="38">
        <v>2</v>
      </c>
      <c r="B15" s="38">
        <v>14</v>
      </c>
      <c r="C15" s="38">
        <f t="shared" si="0"/>
        <v>19.5</v>
      </c>
      <c r="F15" s="53"/>
      <c r="G15" s="55" t="s">
        <v>52</v>
      </c>
      <c r="H15" s="56">
        <f>MEDIAN(B4:B13)</f>
        <v>9.5</v>
      </c>
      <c r="I15" s="159" t="str">
        <f ca="1">_xlfn.FORMULATEXT(H15)</f>
        <v>=MEDIAN(B4:B13)</v>
      </c>
    </row>
    <row r="16" spans="1:12">
      <c r="A16" s="38">
        <v>2</v>
      </c>
      <c r="B16" s="38">
        <v>13</v>
      </c>
      <c r="C16" s="38">
        <f t="shared" si="0"/>
        <v>17</v>
      </c>
      <c r="F16" s="53"/>
      <c r="G16" s="55" t="s">
        <v>53</v>
      </c>
      <c r="H16" s="56">
        <f>MEDIAN(B14:B25)</f>
        <v>12</v>
      </c>
      <c r="I16" s="159" t="str">
        <f t="shared" ref="I16:I33" ca="1" si="1">_xlfn.FORMULATEXT(H16)</f>
        <v>=MEDIAN(B14:B25)</v>
      </c>
    </row>
    <row r="17" spans="1:9" ht="18">
      <c r="A17" s="38">
        <v>2</v>
      </c>
      <c r="B17" s="38">
        <v>12</v>
      </c>
      <c r="C17" s="38">
        <f t="shared" si="0"/>
        <v>14</v>
      </c>
      <c r="F17" s="53"/>
      <c r="G17" s="55" t="s">
        <v>303</v>
      </c>
      <c r="H17" s="56">
        <f>COUNTIF(A4:A25,"=1")</f>
        <v>11</v>
      </c>
      <c r="I17" s="159" t="str">
        <f t="shared" ca="1" si="1"/>
        <v>=COUNTIF(A4:A25,"=1")</v>
      </c>
    </row>
    <row r="18" spans="1:9" ht="18">
      <c r="A18" s="38">
        <v>2</v>
      </c>
      <c r="B18" s="38">
        <v>11</v>
      </c>
      <c r="C18" s="38">
        <f t="shared" si="0"/>
        <v>11</v>
      </c>
      <c r="D18" s="40"/>
      <c r="F18" s="53"/>
      <c r="G18" s="55" t="s">
        <v>304</v>
      </c>
      <c r="H18" s="56">
        <f>COUNTIF(A4:A25,"=2")</f>
        <v>11</v>
      </c>
      <c r="I18" s="159" t="str">
        <f t="shared" ca="1" si="1"/>
        <v>=COUNTIF(A4:A25,"=2")</v>
      </c>
    </row>
    <row r="19" spans="1:9" ht="18">
      <c r="A19" s="38">
        <v>2</v>
      </c>
      <c r="B19" s="38">
        <v>9</v>
      </c>
      <c r="C19" s="38">
        <f t="shared" si="0"/>
        <v>6.5</v>
      </c>
      <c r="F19" s="53"/>
      <c r="G19" s="55" t="s">
        <v>312</v>
      </c>
      <c r="H19" s="56">
        <f>SUMIF(A4:A25,"=1",C4:C25)</f>
        <v>108.5</v>
      </c>
      <c r="I19" s="159" t="str">
        <f t="shared" ca="1" si="1"/>
        <v>=SUMIF(A4:A25,"=1",C4:C25)</v>
      </c>
    </row>
    <row r="20" spans="1:9" ht="18">
      <c r="A20" s="38">
        <v>2</v>
      </c>
      <c r="B20" s="38">
        <v>17</v>
      </c>
      <c r="C20" s="38">
        <f t="shared" si="0"/>
        <v>22</v>
      </c>
      <c r="F20" s="53"/>
      <c r="G20" s="55" t="s">
        <v>313</v>
      </c>
      <c r="H20" s="56">
        <f>SUMIF(A4:A25,"=2",C4:C25)</f>
        <v>144.5</v>
      </c>
      <c r="I20" s="159" t="str">
        <f t="shared" ca="1" si="1"/>
        <v>=SUMIF(A4:A25,"=2",C4:C25)</v>
      </c>
    </row>
    <row r="21" spans="1:9" ht="18">
      <c r="A21" s="38">
        <v>2</v>
      </c>
      <c r="B21" s="38">
        <v>16</v>
      </c>
      <c r="C21" s="38">
        <f t="shared" si="0"/>
        <v>21</v>
      </c>
      <c r="F21" s="53"/>
      <c r="G21" s="55" t="s">
        <v>314</v>
      </c>
      <c r="H21" s="160">
        <f>H17*H18+H17*(H17+1)/2</f>
        <v>187</v>
      </c>
      <c r="I21" s="159" t="str">
        <f t="shared" ca="1" si="1"/>
        <v>=H17*H18+H17*(H17+1)/2</v>
      </c>
    </row>
    <row r="22" spans="1:9" ht="18">
      <c r="A22" s="38">
        <v>2</v>
      </c>
      <c r="B22" s="38">
        <v>11</v>
      </c>
      <c r="C22" s="38">
        <f t="shared" si="0"/>
        <v>11</v>
      </c>
      <c r="F22" s="53"/>
      <c r="G22" s="55" t="s">
        <v>315</v>
      </c>
      <c r="H22" s="160">
        <f>H17*H18+H18*(H18+1)/2</f>
        <v>187</v>
      </c>
      <c r="I22" s="159" t="str">
        <f t="shared" ca="1" si="1"/>
        <v>=H17*H18+H18*(H18+1)/2</v>
      </c>
    </row>
    <row r="23" spans="1:9" ht="18">
      <c r="A23" s="38">
        <v>2</v>
      </c>
      <c r="B23" s="38">
        <v>12</v>
      </c>
      <c r="C23" s="38">
        <f t="shared" si="0"/>
        <v>14</v>
      </c>
      <c r="F23" s="53"/>
      <c r="G23" s="55" t="s">
        <v>305</v>
      </c>
      <c r="H23" s="159">
        <f>H21-H19</f>
        <v>78.5</v>
      </c>
      <c r="I23" s="159" t="str">
        <f t="shared" ca="1" si="1"/>
        <v>=H21-H19</v>
      </c>
    </row>
    <row r="24" spans="1:9" ht="18">
      <c r="A24" s="38">
        <v>2</v>
      </c>
      <c r="B24" s="38">
        <v>9</v>
      </c>
      <c r="C24" s="38">
        <f t="shared" si="0"/>
        <v>6.5</v>
      </c>
      <c r="F24" s="53"/>
      <c r="G24" s="55" t="s">
        <v>306</v>
      </c>
      <c r="H24" s="159">
        <f>H22-H20</f>
        <v>42.5</v>
      </c>
      <c r="I24" s="159" t="str">
        <f t="shared" ca="1" si="1"/>
        <v>=H22-H20</v>
      </c>
    </row>
    <row r="25" spans="1:9" ht="18">
      <c r="A25" s="38">
        <v>2</v>
      </c>
      <c r="B25" s="38">
        <v>6</v>
      </c>
      <c r="C25" s="38">
        <f t="shared" si="0"/>
        <v>2</v>
      </c>
      <c r="D25" s="40" t="str">
        <f ca="1">_xlfn.FORMULATEXT(C25)</f>
        <v>=RANK.AVG(B25,$B$4:$B$25,1)</v>
      </c>
      <c r="F25" s="53"/>
      <c r="G25" s="55" t="s">
        <v>316</v>
      </c>
      <c r="H25" s="159">
        <f>H23+H24</f>
        <v>121</v>
      </c>
      <c r="I25" s="159" t="str">
        <f t="shared" ca="1" si="1"/>
        <v>=H23+H24</v>
      </c>
    </row>
    <row r="26" spans="1:9" ht="18">
      <c r="A26" s="45"/>
      <c r="B26" s="45"/>
      <c r="C26" s="45"/>
      <c r="F26" s="53"/>
      <c r="G26" s="55" t="s">
        <v>317</v>
      </c>
      <c r="H26" s="159">
        <f>H17*H18</f>
        <v>121</v>
      </c>
      <c r="I26" s="159" t="str">
        <f t="shared" ca="1" si="1"/>
        <v>=H17*H18</v>
      </c>
    </row>
    <row r="27" spans="1:9" ht="18">
      <c r="A27" s="45"/>
      <c r="B27" s="45"/>
      <c r="C27" s="45"/>
      <c r="F27" s="53"/>
      <c r="G27" s="55" t="s">
        <v>318</v>
      </c>
      <c r="H27" s="159">
        <f>MIN(H23,H24)</f>
        <v>42.5</v>
      </c>
      <c r="I27" s="159" t="str">
        <f t="shared" ca="1" si="1"/>
        <v>=MIN(H23,H24)</v>
      </c>
    </row>
    <row r="28" spans="1:9">
      <c r="A28" s="45"/>
      <c r="B28" s="134" t="s">
        <v>233</v>
      </c>
      <c r="C28" s="45"/>
      <c r="F28" s="53"/>
      <c r="G28" s="55" t="s">
        <v>384</v>
      </c>
      <c r="H28" s="159">
        <f>H17*H18/2</f>
        <v>60.5</v>
      </c>
      <c r="I28" s="159" t="str">
        <f t="shared" ca="1" si="1"/>
        <v>=H17*H18/2</v>
      </c>
    </row>
    <row r="29" spans="1:9">
      <c r="A29" s="45"/>
      <c r="B29" s="134" t="s">
        <v>234</v>
      </c>
      <c r="C29" s="45"/>
      <c r="F29" s="53"/>
      <c r="G29" s="55" t="s">
        <v>344</v>
      </c>
      <c r="H29" s="161">
        <f>SQRT(H17*H18*(H17+H18+1)/12)</f>
        <v>15.228810415349804</v>
      </c>
      <c r="I29" s="159" t="str">
        <f t="shared" ca="1" si="1"/>
        <v>=SQRT(H17*H18*(H17+H18+1)/12)</v>
      </c>
    </row>
    <row r="30" spans="1:9">
      <c r="A30" s="45"/>
      <c r="B30" s="45"/>
      <c r="C30" s="45"/>
      <c r="F30" s="162" t="s">
        <v>54</v>
      </c>
      <c r="G30" s="55" t="s">
        <v>232</v>
      </c>
      <c r="H30" s="161">
        <f>2*_xlfn.NORM.S.DIST(H31,TRUE)</f>
        <v>0.23721752775378091</v>
      </c>
      <c r="I30" s="159" t="str">
        <f t="shared" ca="1" si="1"/>
        <v>=2*NORM.S.DIST(H31,TRUE)</v>
      </c>
    </row>
    <row r="31" spans="1:9" ht="18">
      <c r="A31" s="45"/>
      <c r="B31" s="45"/>
      <c r="C31" s="45"/>
      <c r="F31" s="162" t="s">
        <v>55</v>
      </c>
      <c r="G31" s="55" t="s">
        <v>385</v>
      </c>
      <c r="H31" s="290">
        <f>(H27-H28)/H29</f>
        <v>-1.1819701939330067</v>
      </c>
      <c r="I31" s="159" t="str">
        <f t="shared" ca="1" si="1"/>
        <v>=(H27-H28)/H29</v>
      </c>
    </row>
    <row r="32" spans="1:9" ht="18">
      <c r="A32" s="45"/>
      <c r="B32" s="45"/>
      <c r="C32" s="45"/>
      <c r="F32" s="53"/>
      <c r="G32" s="55" t="s">
        <v>356</v>
      </c>
      <c r="H32" s="163">
        <f>_xlfn.NORM.S.INV(H12/2)</f>
        <v>-1.9599639845400538</v>
      </c>
      <c r="I32" s="159" t="str">
        <f t="shared" ca="1" si="1"/>
        <v>=NORM.S.INV(H12/2)</v>
      </c>
    </row>
    <row r="33" spans="1:9" ht="18">
      <c r="A33" s="45"/>
      <c r="B33" s="45"/>
      <c r="C33" s="45"/>
      <c r="F33" s="53"/>
      <c r="G33" s="55" t="s">
        <v>357</v>
      </c>
      <c r="H33" s="59">
        <f>_xlfn.NORM.S.INV(1-H12/2)</f>
        <v>1.9599639845400536</v>
      </c>
      <c r="I33" s="159" t="str">
        <f t="shared" ca="1" si="1"/>
        <v>=NORM.S.INV(1-H12/2)</v>
      </c>
    </row>
    <row r="34" spans="1:9">
      <c r="A34" s="45"/>
      <c r="B34" s="45"/>
      <c r="C34" s="45"/>
    </row>
    <row r="35" spans="1:9">
      <c r="A35" s="45"/>
      <c r="B35" s="45"/>
      <c r="C35" s="45"/>
      <c r="D35" s="40"/>
      <c r="E35" s="164"/>
      <c r="F35" s="62" t="s">
        <v>68</v>
      </c>
      <c r="G35" s="63"/>
      <c r="H35" s="63"/>
      <c r="I35" s="63"/>
    </row>
    <row r="36" spans="1:9" ht="18">
      <c r="E36" s="164"/>
      <c r="F36" s="63" t="s">
        <v>358</v>
      </c>
      <c r="G36" s="63"/>
      <c r="H36" s="165" t="s">
        <v>236</v>
      </c>
      <c r="I36" s="166"/>
    </row>
    <row r="37" spans="1:9" ht="18">
      <c r="F37" s="63" t="s">
        <v>359</v>
      </c>
      <c r="G37" s="63"/>
      <c r="H37" s="167" t="s">
        <v>237</v>
      </c>
      <c r="I37" s="63"/>
    </row>
    <row r="38" spans="1:9">
      <c r="G38" s="131"/>
      <c r="H38" s="168"/>
      <c r="I38" s="40"/>
    </row>
    <row r="39" spans="1:9">
      <c r="G39" s="131"/>
    </row>
    <row r="54" spans="2:2">
      <c r="B54" s="131"/>
    </row>
    <row r="57" spans="2:2">
      <c r="B57" s="131"/>
    </row>
    <row r="59" spans="2:2">
      <c r="B59" s="131"/>
    </row>
  </sheetData>
  <pageMargins left="0.7" right="0.7" top="0.75" bottom="0.75" header="0.3" footer="0.3"/>
  <pageSetup paperSize="9" orientation="portrait" r:id="rId1"/>
  <ignoredErrors>
    <ignoredError sqref="H15:H1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7"/>
  <sheetViews>
    <sheetView workbookViewId="0">
      <selection activeCell="A2" sqref="A2"/>
    </sheetView>
  </sheetViews>
  <sheetFormatPr defaultColWidth="9.140625" defaultRowHeight="15"/>
  <cols>
    <col min="1" max="1" width="6" style="11" customWidth="1"/>
    <col min="2" max="2" width="10.28515625" style="11" customWidth="1"/>
    <col min="3" max="3" width="14" style="11" customWidth="1"/>
    <col min="4" max="4" width="22.28515625" style="11" customWidth="1"/>
    <col min="5" max="5" width="21" style="11" customWidth="1"/>
    <col min="6" max="6" width="17.5703125" style="11" customWidth="1"/>
    <col min="7" max="7" width="9.140625" style="11"/>
    <col min="8" max="8" width="4.85546875" style="11" customWidth="1"/>
    <col min="9" max="9" width="23.5703125" style="11" customWidth="1"/>
    <col min="10" max="10" width="22" style="11" customWidth="1"/>
    <col min="11" max="11" width="19" style="11" customWidth="1"/>
    <col min="12" max="12" width="30.5703125" style="11" customWidth="1"/>
    <col min="13" max="16384" width="9.140625" style="11"/>
  </cols>
  <sheetData>
    <row r="1" spans="1:12">
      <c r="A1" s="10" t="s">
        <v>253</v>
      </c>
    </row>
    <row r="2" spans="1:12">
      <c r="C2" s="302" t="s">
        <v>189</v>
      </c>
      <c r="D2" s="302"/>
      <c r="E2" s="302"/>
      <c r="F2" s="302"/>
    </row>
    <row r="3" spans="1:12">
      <c r="B3" s="12" t="s">
        <v>188</v>
      </c>
      <c r="C3" s="19" t="s">
        <v>100</v>
      </c>
      <c r="D3" s="19" t="s">
        <v>101</v>
      </c>
      <c r="E3" s="19" t="s">
        <v>102</v>
      </c>
      <c r="F3" s="19" t="s">
        <v>103</v>
      </c>
      <c r="G3" s="22" t="s">
        <v>1</v>
      </c>
      <c r="I3" s="170" t="s">
        <v>64</v>
      </c>
      <c r="J3" s="170"/>
      <c r="K3" s="170"/>
      <c r="L3" s="170"/>
    </row>
    <row r="4" spans="1:12" ht="18">
      <c r="B4" s="272">
        <v>1</v>
      </c>
      <c r="C4" s="273">
        <v>29</v>
      </c>
      <c r="D4" s="273">
        <v>40</v>
      </c>
      <c r="E4" s="273">
        <v>91</v>
      </c>
      <c r="F4" s="273">
        <v>25</v>
      </c>
      <c r="G4" s="273">
        <f>SUM(C4:F4)</f>
        <v>185</v>
      </c>
      <c r="I4" s="170"/>
      <c r="J4" s="170" t="s">
        <v>261</v>
      </c>
      <c r="K4" s="170"/>
      <c r="L4" s="170"/>
    </row>
    <row r="5" spans="1:12" ht="18">
      <c r="B5" s="269">
        <v>2</v>
      </c>
      <c r="C5" s="270">
        <v>54</v>
      </c>
      <c r="D5" s="270">
        <v>65</v>
      </c>
      <c r="E5" s="270">
        <v>63</v>
      </c>
      <c r="F5" s="270">
        <v>8</v>
      </c>
      <c r="G5" s="270">
        <f>SUM(C5:F5)</f>
        <v>190</v>
      </c>
      <c r="I5" s="170"/>
      <c r="J5" s="170" t="s">
        <v>262</v>
      </c>
      <c r="K5" s="170"/>
      <c r="L5" s="170"/>
    </row>
    <row r="6" spans="1:12">
      <c r="B6" s="271">
        <v>3</v>
      </c>
      <c r="C6" s="261">
        <v>70</v>
      </c>
      <c r="D6" s="261">
        <v>33</v>
      </c>
      <c r="E6" s="261">
        <v>96</v>
      </c>
      <c r="F6" s="261">
        <v>38</v>
      </c>
      <c r="G6" s="261">
        <f>SUM(C6:F6)</f>
        <v>237</v>
      </c>
      <c r="I6" s="170"/>
      <c r="J6" s="170"/>
      <c r="K6" s="170"/>
      <c r="L6" s="170"/>
    </row>
    <row r="7" spans="1:12">
      <c r="B7" s="13" t="s">
        <v>1</v>
      </c>
      <c r="C7" s="22">
        <f>SUM(C4:C6)</f>
        <v>153</v>
      </c>
      <c r="D7" s="22">
        <f>SUM(D4:D6)</f>
        <v>138</v>
      </c>
      <c r="E7" s="22">
        <f>SUM(E4:E6)</f>
        <v>250</v>
      </c>
      <c r="F7" s="22">
        <f>SUM(F4:F6)</f>
        <v>71</v>
      </c>
      <c r="G7" s="22">
        <f>SUM(C7:F7)</f>
        <v>612</v>
      </c>
      <c r="I7" s="171" t="s">
        <v>65</v>
      </c>
      <c r="J7" s="171"/>
      <c r="K7" s="171"/>
      <c r="L7" s="171"/>
    </row>
    <row r="8" spans="1:12">
      <c r="C8" s="24"/>
      <c r="D8" s="24"/>
      <c r="E8" s="24"/>
      <c r="F8" s="24"/>
      <c r="I8" s="171"/>
      <c r="J8" s="171" t="s">
        <v>4</v>
      </c>
      <c r="K8" s="171"/>
      <c r="L8" s="171"/>
    </row>
    <row r="9" spans="1:12">
      <c r="I9" s="171"/>
      <c r="J9" s="171" t="s">
        <v>195</v>
      </c>
      <c r="K9" s="171"/>
      <c r="L9" s="171"/>
    </row>
    <row r="10" spans="1:12">
      <c r="C10" s="15"/>
      <c r="D10" s="15"/>
      <c r="E10" s="15"/>
      <c r="F10" s="15"/>
      <c r="I10" s="171"/>
      <c r="J10" s="171"/>
      <c r="K10" s="171"/>
      <c r="L10" s="171"/>
    </row>
    <row r="11" spans="1:12">
      <c r="I11" s="173" t="s">
        <v>66</v>
      </c>
      <c r="J11" s="173"/>
      <c r="K11" s="173"/>
      <c r="L11" s="173"/>
    </row>
    <row r="12" spans="1:12">
      <c r="B12" s="11" t="s">
        <v>93</v>
      </c>
      <c r="I12" s="173"/>
      <c r="J12" s="174" t="s">
        <v>94</v>
      </c>
      <c r="K12" s="175">
        <v>0.05</v>
      </c>
      <c r="L12" s="173"/>
    </row>
    <row r="13" spans="1:12">
      <c r="I13" s="173"/>
      <c r="J13" s="173"/>
      <c r="K13" s="173"/>
      <c r="L13" s="173"/>
    </row>
    <row r="14" spans="1:12" ht="17.25">
      <c r="C14" s="19" t="s">
        <v>2</v>
      </c>
      <c r="D14" s="19" t="s">
        <v>5</v>
      </c>
      <c r="E14" s="19" t="s">
        <v>260</v>
      </c>
      <c r="I14" s="177" t="s">
        <v>67</v>
      </c>
      <c r="J14" s="177"/>
      <c r="K14" s="177"/>
      <c r="L14" s="177"/>
    </row>
    <row r="15" spans="1:12" ht="18.75">
      <c r="B15" s="274">
        <v>1</v>
      </c>
      <c r="C15" s="273">
        <f>C4</f>
        <v>29</v>
      </c>
      <c r="D15" s="30">
        <f>G4*C7/G7</f>
        <v>46.25</v>
      </c>
      <c r="E15" s="26">
        <f t="shared" ref="E15:E26" si="0">(C15-D15)^2/D15</f>
        <v>6.4337837837837837</v>
      </c>
      <c r="F15" s="15" t="str">
        <f ca="1">_xlfn.FORMULATEXT(E15)</f>
        <v>=(C15-D15)^2/D15</v>
      </c>
      <c r="I15" s="177"/>
      <c r="J15" s="288" t="s">
        <v>389</v>
      </c>
      <c r="K15" s="179">
        <f>SUM(E15:E26)</f>
        <v>48.072587060968026</v>
      </c>
      <c r="L15" s="183" t="str">
        <f ca="1">_xlfn.FORMULATEXT(K15)</f>
        <v>=SUM(E15:E26)</v>
      </c>
    </row>
    <row r="16" spans="1:12">
      <c r="B16" s="24"/>
      <c r="C16" s="273">
        <f>D4</f>
        <v>40</v>
      </c>
      <c r="D16" s="30">
        <f>G4*D7/G7</f>
        <v>41.715686274509807</v>
      </c>
      <c r="E16" s="26">
        <f t="shared" si="0"/>
        <v>7.0562890255985111E-2</v>
      </c>
      <c r="I16" s="177"/>
      <c r="J16" s="177"/>
      <c r="K16" s="177"/>
      <c r="L16" s="177"/>
    </row>
    <row r="17" spans="2:12">
      <c r="B17" s="24"/>
      <c r="C17" s="273">
        <f>E4</f>
        <v>91</v>
      </c>
      <c r="D17" s="30">
        <f>G4*E7/G7</f>
        <v>75.571895424836597</v>
      </c>
      <c r="E17" s="26">
        <f t="shared" si="0"/>
        <v>3.1496683978095761</v>
      </c>
      <c r="I17" s="177"/>
      <c r="J17" s="182" t="s">
        <v>6</v>
      </c>
      <c r="K17" s="177"/>
      <c r="L17" s="177"/>
    </row>
    <row r="18" spans="2:12">
      <c r="B18" s="24"/>
      <c r="C18" s="273">
        <f>F4</f>
        <v>25</v>
      </c>
      <c r="D18" s="30">
        <f>G4*F7/G7</f>
        <v>21.462418300653596</v>
      </c>
      <c r="E18" s="26">
        <f t="shared" si="0"/>
        <v>0.5830882663939827</v>
      </c>
      <c r="I18" s="177"/>
      <c r="J18" s="178" t="s">
        <v>7</v>
      </c>
      <c r="K18" s="181">
        <f>COUNT(C4:C6)</f>
        <v>3</v>
      </c>
      <c r="L18" s="183" t="str">
        <f t="shared" ref="L18:L22" ca="1" si="1">_xlfn.FORMULATEXT(K18)</f>
        <v>=COUNT(C4:C6)</v>
      </c>
    </row>
    <row r="19" spans="2:12">
      <c r="B19" s="275">
        <v>2</v>
      </c>
      <c r="C19" s="270">
        <f>C5</f>
        <v>54</v>
      </c>
      <c r="D19" s="30">
        <f>G5*C7/G7</f>
        <v>47.5</v>
      </c>
      <c r="E19" s="26">
        <f t="shared" si="0"/>
        <v>0.88947368421052631</v>
      </c>
      <c r="I19" s="177"/>
      <c r="J19" s="178" t="s">
        <v>8</v>
      </c>
      <c r="K19" s="181">
        <f>COUNT(C4:F4)</f>
        <v>4</v>
      </c>
      <c r="L19" s="183" t="str">
        <f t="shared" ca="1" si="1"/>
        <v>=COUNT(C4:F4)</v>
      </c>
    </row>
    <row r="20" spans="2:12">
      <c r="B20" s="20"/>
      <c r="C20" s="270">
        <f>D5</f>
        <v>65</v>
      </c>
      <c r="D20" s="30">
        <f>G5*D7/G7</f>
        <v>42.843137254901961</v>
      </c>
      <c r="E20" s="26">
        <f t="shared" si="0"/>
        <v>11.458697895634225</v>
      </c>
      <c r="I20" s="177"/>
      <c r="J20" s="178" t="s">
        <v>9</v>
      </c>
      <c r="K20" s="181">
        <f>(K18-1)*(K19-1)</f>
        <v>6</v>
      </c>
      <c r="L20" s="183" t="str">
        <f t="shared" ca="1" si="1"/>
        <v>=(K18-1)*(K19-1)</v>
      </c>
    </row>
    <row r="21" spans="2:12" ht="18.75">
      <c r="B21" s="24"/>
      <c r="C21" s="270">
        <f>E5</f>
        <v>63</v>
      </c>
      <c r="D21" s="30">
        <f>G5*E7/G7</f>
        <v>77.614379084967325</v>
      </c>
      <c r="E21" s="26">
        <f t="shared" si="0"/>
        <v>2.7518106639146906</v>
      </c>
      <c r="I21" s="177"/>
      <c r="J21" s="178" t="s">
        <v>390</v>
      </c>
      <c r="K21" s="196">
        <f>_xlfn.CHISQ.INV.RT(K12,K20)</f>
        <v>12.591587243743978</v>
      </c>
      <c r="L21" s="183" t="str">
        <f t="shared" ca="1" si="1"/>
        <v>=CHISQ.INV.RT(K12,K20)</v>
      </c>
    </row>
    <row r="22" spans="2:12">
      <c r="B22" s="24"/>
      <c r="C22" s="270">
        <f>F5</f>
        <v>8</v>
      </c>
      <c r="D22" s="30">
        <f>G5*F7/G7</f>
        <v>22.042483660130721</v>
      </c>
      <c r="E22" s="26">
        <f t="shared" si="0"/>
        <v>8.9459677223990681</v>
      </c>
      <c r="I22" s="177"/>
      <c r="J22" s="178" t="s">
        <v>70</v>
      </c>
      <c r="K22" s="196">
        <f>_xlfn.CHISQ.DIST.RT(K15,K20)</f>
        <v>1.1428065842345564E-8</v>
      </c>
      <c r="L22" s="183" t="str">
        <f t="shared" ca="1" si="1"/>
        <v>=CHISQ.DIST.RT(K15,K20)</v>
      </c>
    </row>
    <row r="23" spans="2:12">
      <c r="B23" s="276">
        <v>3</v>
      </c>
      <c r="C23" s="261">
        <f>C6</f>
        <v>70</v>
      </c>
      <c r="D23" s="30">
        <f>G6*C7/G7</f>
        <v>59.25</v>
      </c>
      <c r="E23" s="26">
        <f t="shared" si="0"/>
        <v>1.9504219409282701</v>
      </c>
      <c r="I23" s="177"/>
      <c r="J23" s="177"/>
      <c r="K23" s="177"/>
      <c r="L23" s="177"/>
    </row>
    <row r="24" spans="2:12">
      <c r="B24" s="24"/>
      <c r="C24" s="261">
        <f>D6</f>
        <v>33</v>
      </c>
      <c r="D24" s="30">
        <f>G6*D7/G7</f>
        <v>53.441176470588232</v>
      </c>
      <c r="E24" s="26">
        <f t="shared" si="0"/>
        <v>7.8187218751011667</v>
      </c>
      <c r="I24" s="197" t="s">
        <v>68</v>
      </c>
      <c r="J24" s="186"/>
      <c r="K24" s="186"/>
      <c r="L24" s="186"/>
    </row>
    <row r="25" spans="2:12" ht="18.75">
      <c r="B25" s="24"/>
      <c r="C25" s="261">
        <f>E6</f>
        <v>96</v>
      </c>
      <c r="D25" s="30">
        <f>G6*E7/G7</f>
        <v>96.813725490196077</v>
      </c>
      <c r="E25" s="26">
        <f t="shared" si="0"/>
        <v>6.8394142467113244E-3</v>
      </c>
      <c r="I25" s="186"/>
      <c r="J25" s="186" t="s">
        <v>392</v>
      </c>
      <c r="K25" s="186"/>
      <c r="L25" s="186"/>
    </row>
    <row r="26" spans="2:12">
      <c r="B26" s="24"/>
      <c r="C26" s="261">
        <f>F6</f>
        <v>38</v>
      </c>
      <c r="D26" s="30">
        <f>G6*F7/G7</f>
        <v>27.495098039215687</v>
      </c>
      <c r="E26" s="26">
        <f t="shared" si="0"/>
        <v>4.0135505262900297</v>
      </c>
      <c r="I26" s="186"/>
      <c r="J26" s="186" t="s">
        <v>104</v>
      </c>
      <c r="K26" s="186"/>
      <c r="L26" s="186"/>
    </row>
    <row r="27" spans="2:12">
      <c r="D27" s="11" t="str">
        <f ca="1">_xlfn.FORMULATEXT(D26)</f>
        <v>=G6*F7/G7</v>
      </c>
      <c r="E27" s="11" t="str">
        <f ca="1">_xlfn.FORMULATEXT(E26)</f>
        <v>=(C26-D26)^2/D26</v>
      </c>
    </row>
  </sheetData>
  <mergeCells count="1">
    <mergeCell ref="C2:F2"/>
  </mergeCells>
  <printOptions headings="1" gridLines="1"/>
  <pageMargins left="0.74803149606299213" right="0.74803149606299213" top="0.98425196850393704" bottom="0.98425196850393704" header="0.51181102362204722" footer="0.51181102362204722"/>
  <pageSetup paperSize="9" scale="65" orientation="landscape" horizontalDpi="0" verticalDpi="0" r:id="rId1"/>
  <headerFooter alignWithMargins="0"/>
  <ignoredErrors>
    <ignoredError sqref="G4:G6 K1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6"/>
  <sheetViews>
    <sheetView workbookViewId="0">
      <selection activeCell="A2" sqref="A2"/>
    </sheetView>
  </sheetViews>
  <sheetFormatPr defaultColWidth="9.140625" defaultRowHeight="15"/>
  <cols>
    <col min="1" max="1" width="5.42578125" style="11" customWidth="1"/>
    <col min="2" max="2" width="13.7109375" style="11" customWidth="1"/>
    <col min="3" max="3" width="15" style="11" customWidth="1"/>
    <col min="4" max="4" width="22.42578125" style="11" customWidth="1"/>
    <col min="5" max="5" width="11.7109375" style="11" customWidth="1"/>
    <col min="6" max="6" width="16.5703125" style="11" customWidth="1"/>
    <col min="7" max="7" width="13.140625" style="11" customWidth="1"/>
    <col min="8" max="8" width="3.28515625" style="11" customWidth="1"/>
    <col min="9" max="9" width="24" style="11" customWidth="1"/>
    <col min="10" max="10" width="20.28515625" style="11" customWidth="1"/>
    <col min="11" max="11" width="16.42578125" style="11" customWidth="1"/>
    <col min="12" max="12" width="35.42578125" style="11" customWidth="1"/>
    <col min="13" max="16384" width="9.140625" style="11"/>
  </cols>
  <sheetData>
    <row r="1" spans="1:12">
      <c r="A1" s="10" t="s">
        <v>254</v>
      </c>
    </row>
    <row r="2" spans="1:12">
      <c r="C2" s="302" t="s">
        <v>191</v>
      </c>
      <c r="D2" s="302"/>
      <c r="E2" s="302"/>
      <c r="F2" s="302"/>
    </row>
    <row r="3" spans="1:12">
      <c r="B3" s="12" t="s">
        <v>190</v>
      </c>
      <c r="C3" s="19" t="s">
        <v>105</v>
      </c>
      <c r="D3" s="19" t="s">
        <v>101</v>
      </c>
      <c r="E3" s="19" t="s">
        <v>3</v>
      </c>
      <c r="F3" s="19" t="s">
        <v>106</v>
      </c>
      <c r="G3" s="19" t="s">
        <v>1</v>
      </c>
      <c r="I3" s="170" t="s">
        <v>64</v>
      </c>
      <c r="J3" s="170"/>
      <c r="K3" s="170"/>
      <c r="L3" s="170"/>
    </row>
    <row r="4" spans="1:12" ht="18">
      <c r="B4" s="270" t="s">
        <v>90</v>
      </c>
      <c r="C4" s="259">
        <v>38</v>
      </c>
      <c r="D4" s="259">
        <v>61</v>
      </c>
      <c r="E4" s="259">
        <v>59</v>
      </c>
      <c r="F4" s="259">
        <v>96</v>
      </c>
      <c r="G4" s="259">
        <f>SUM(C4:F4)</f>
        <v>254</v>
      </c>
      <c r="I4" s="170"/>
      <c r="J4" s="170" t="s">
        <v>263</v>
      </c>
      <c r="K4" s="170"/>
      <c r="L4" s="170"/>
    </row>
    <row r="5" spans="1:12" ht="18">
      <c r="B5" s="256" t="s">
        <v>386</v>
      </c>
      <c r="C5" s="256">
        <v>16</v>
      </c>
      <c r="D5" s="256">
        <v>32</v>
      </c>
      <c r="E5" s="256">
        <v>27</v>
      </c>
      <c r="F5" s="256">
        <v>29</v>
      </c>
      <c r="G5" s="256">
        <f>SUM(C5:F5)</f>
        <v>104</v>
      </c>
      <c r="I5" s="170"/>
      <c r="J5" s="170" t="s">
        <v>264</v>
      </c>
      <c r="K5" s="170"/>
      <c r="L5" s="170"/>
    </row>
    <row r="6" spans="1:12">
      <c r="B6" s="261" t="s">
        <v>88</v>
      </c>
      <c r="C6" s="261">
        <v>11</v>
      </c>
      <c r="D6" s="261">
        <v>26</v>
      </c>
      <c r="E6" s="261">
        <v>35</v>
      </c>
      <c r="F6" s="261">
        <v>41</v>
      </c>
      <c r="G6" s="261">
        <f>SUM(C6:F6)</f>
        <v>113</v>
      </c>
      <c r="I6" s="170"/>
      <c r="J6" s="170"/>
      <c r="K6" s="170"/>
      <c r="L6" s="170"/>
    </row>
    <row r="7" spans="1:12">
      <c r="B7" s="13" t="s">
        <v>1</v>
      </c>
      <c r="C7" s="22">
        <f>SUM(C4:C6)</f>
        <v>65</v>
      </c>
      <c r="D7" s="22">
        <f>SUM(D4:D6)</f>
        <v>119</v>
      </c>
      <c r="E7" s="22">
        <f>SUM(E4:E6)</f>
        <v>121</v>
      </c>
      <c r="F7" s="22">
        <f>SUM(F4:F6)</f>
        <v>166</v>
      </c>
      <c r="G7" s="22">
        <f>SUM(C7:F7)</f>
        <v>471</v>
      </c>
      <c r="I7" s="171" t="s">
        <v>65</v>
      </c>
      <c r="J7" s="171"/>
      <c r="K7" s="171"/>
      <c r="L7" s="171"/>
    </row>
    <row r="8" spans="1:12">
      <c r="C8" s="24"/>
      <c r="D8" s="24"/>
      <c r="E8" s="24"/>
      <c r="F8" s="24"/>
      <c r="I8" s="171"/>
      <c r="J8" s="171" t="s">
        <v>4</v>
      </c>
      <c r="K8" s="171"/>
      <c r="L8" s="171"/>
    </row>
    <row r="9" spans="1:12">
      <c r="I9" s="171"/>
      <c r="J9" s="171" t="s">
        <v>196</v>
      </c>
      <c r="K9" s="171"/>
      <c r="L9" s="171"/>
    </row>
    <row r="10" spans="1:12">
      <c r="I10" s="171"/>
      <c r="J10" s="171"/>
      <c r="K10" s="171"/>
      <c r="L10" s="171"/>
    </row>
    <row r="11" spans="1:12">
      <c r="B11" s="11" t="s">
        <v>93</v>
      </c>
      <c r="I11" s="173" t="s">
        <v>66</v>
      </c>
      <c r="J11" s="173"/>
      <c r="K11" s="173"/>
      <c r="L11" s="173"/>
    </row>
    <row r="12" spans="1:12">
      <c r="I12" s="173"/>
      <c r="J12" s="174" t="s">
        <v>94</v>
      </c>
      <c r="K12" s="175">
        <v>0.05</v>
      </c>
      <c r="L12" s="173"/>
    </row>
    <row r="13" spans="1:12" ht="17.25">
      <c r="C13" s="19" t="s">
        <v>2</v>
      </c>
      <c r="D13" s="19" t="s">
        <v>5</v>
      </c>
      <c r="E13" s="19" t="s">
        <v>260</v>
      </c>
      <c r="I13" s="173"/>
      <c r="J13" s="173"/>
      <c r="K13" s="173"/>
      <c r="L13" s="173"/>
    </row>
    <row r="14" spans="1:12">
      <c r="B14" s="280" t="s">
        <v>102</v>
      </c>
      <c r="C14" s="259">
        <f>C4</f>
        <v>38</v>
      </c>
      <c r="D14" s="31">
        <f>G4*C7/G7</f>
        <v>35.053078556263273</v>
      </c>
      <c r="E14" s="26">
        <f t="shared" ref="E14:E25" si="0">(C14-D14)^2/D14</f>
        <v>0.24774845329537082</v>
      </c>
      <c r="F14" s="15" t="str">
        <f ca="1">_xlfn.FORMULATEXT(E14)</f>
        <v>=(C14-D14)^2/D14</v>
      </c>
      <c r="I14" s="177" t="s">
        <v>67</v>
      </c>
      <c r="J14" s="177"/>
      <c r="K14" s="177"/>
      <c r="L14" s="177"/>
    </row>
    <row r="15" spans="1:12" ht="18.75">
      <c r="B15" s="24"/>
      <c r="C15" s="259">
        <f>D4</f>
        <v>61</v>
      </c>
      <c r="D15" s="31">
        <f>G4*D7/G7</f>
        <v>64.174097664543524</v>
      </c>
      <c r="E15" s="26">
        <f t="shared" si="0"/>
        <v>0.15699318495641393</v>
      </c>
      <c r="I15" s="177"/>
      <c r="J15" s="288" t="s">
        <v>389</v>
      </c>
      <c r="K15" s="179">
        <f>SUM(E14:E25)</f>
        <v>7.3540571035165057</v>
      </c>
      <c r="L15" s="183" t="str">
        <f ca="1">_xlfn.FORMULATEXT(K15)</f>
        <v>=SUM(E14:E25)</v>
      </c>
    </row>
    <row r="16" spans="1:12">
      <c r="B16" s="24"/>
      <c r="C16" s="259">
        <f>E4</f>
        <v>59</v>
      </c>
      <c r="D16" s="31">
        <f>G4*E7/G7</f>
        <v>65.252653927813157</v>
      </c>
      <c r="E16" s="26">
        <f t="shared" si="0"/>
        <v>0.59914315798170514</v>
      </c>
      <c r="I16" s="177"/>
      <c r="J16" s="177"/>
      <c r="K16" s="177"/>
      <c r="L16" s="177"/>
    </row>
    <row r="17" spans="2:12">
      <c r="B17" s="24"/>
      <c r="C17" s="259">
        <f>F4</f>
        <v>96</v>
      </c>
      <c r="D17" s="31">
        <f>G4*F7/G7</f>
        <v>89.520169851380047</v>
      </c>
      <c r="E17" s="26">
        <f t="shared" si="0"/>
        <v>0.46903618284764453</v>
      </c>
      <c r="I17" s="177"/>
      <c r="J17" s="182" t="s">
        <v>6</v>
      </c>
      <c r="K17" s="177"/>
      <c r="L17" s="177"/>
    </row>
    <row r="18" spans="2:12">
      <c r="B18" s="281" t="s">
        <v>107</v>
      </c>
      <c r="C18" s="256">
        <f>C5</f>
        <v>16</v>
      </c>
      <c r="D18" s="31">
        <f>G5*C7/G7</f>
        <v>14.352441613588111</v>
      </c>
      <c r="E18" s="26">
        <f t="shared" si="0"/>
        <v>0.1891280041206547</v>
      </c>
      <c r="I18" s="177"/>
      <c r="J18" s="178" t="s">
        <v>7</v>
      </c>
      <c r="K18" s="181">
        <f>COUNT(C4:C6)</f>
        <v>3</v>
      </c>
      <c r="L18" s="183" t="str">
        <f t="shared" ref="L18:L22" ca="1" si="1">_xlfn.FORMULATEXT(K18)</f>
        <v>=COUNT(C4:C6)</v>
      </c>
    </row>
    <row r="19" spans="2:12">
      <c r="B19" s="20"/>
      <c r="C19" s="256">
        <f>D5</f>
        <v>32</v>
      </c>
      <c r="D19" s="31">
        <f>G5*D7/G7</f>
        <v>26.276008492569002</v>
      </c>
      <c r="E19" s="26">
        <f t="shared" si="0"/>
        <v>1.2469199340686792</v>
      </c>
      <c r="I19" s="177"/>
      <c r="J19" s="178" t="s">
        <v>8</v>
      </c>
      <c r="K19" s="181">
        <f>COUNT(C4:F4)</f>
        <v>4</v>
      </c>
      <c r="L19" s="183" t="str">
        <f t="shared" ca="1" si="1"/>
        <v>=COUNT(C4:F4)</v>
      </c>
    </row>
    <row r="20" spans="2:12">
      <c r="B20" s="24"/>
      <c r="C20" s="256">
        <f>E5</f>
        <v>27</v>
      </c>
      <c r="D20" s="31">
        <f>G5*E7/G7</f>
        <v>26.717622080679405</v>
      </c>
      <c r="E20" s="26">
        <f t="shared" si="0"/>
        <v>2.9844455872249862E-3</v>
      </c>
      <c r="I20" s="177"/>
      <c r="J20" s="178" t="s">
        <v>9</v>
      </c>
      <c r="K20" s="181">
        <f>(K18-1)*(K19-1)</f>
        <v>6</v>
      </c>
      <c r="L20" s="183" t="str">
        <f t="shared" ca="1" si="1"/>
        <v>=(K18-1)*(K19-1)</v>
      </c>
    </row>
    <row r="21" spans="2:12" ht="18.75">
      <c r="B21" s="24"/>
      <c r="C21" s="256">
        <f>F5</f>
        <v>29</v>
      </c>
      <c r="D21" s="31">
        <f>G5*F7/G7</f>
        <v>36.653927813163484</v>
      </c>
      <c r="E21" s="26">
        <f t="shared" si="0"/>
        <v>1.5982628456009249</v>
      </c>
      <c r="I21" s="177"/>
      <c r="J21" s="178" t="s">
        <v>390</v>
      </c>
      <c r="K21" s="196">
        <f>_xlfn.CHISQ.INV.RT(K12,K20)</f>
        <v>12.591587243743978</v>
      </c>
      <c r="L21" s="183" t="str">
        <f t="shared" ca="1" si="1"/>
        <v>=CHISQ.INV.RT(K12,K20)</v>
      </c>
    </row>
    <row r="22" spans="2:12">
      <c r="B22" s="276" t="s">
        <v>100</v>
      </c>
      <c r="C22" s="261">
        <f>C6</f>
        <v>11</v>
      </c>
      <c r="D22" s="31">
        <f>G6*C7/G7</f>
        <v>15.59447983014862</v>
      </c>
      <c r="E22" s="26">
        <f t="shared" si="0"/>
        <v>1.3536357185080481</v>
      </c>
      <c r="I22" s="177"/>
      <c r="J22" s="178" t="s">
        <v>70</v>
      </c>
      <c r="K22" s="196">
        <f>_xlfn.CHISQ.DIST.RT(K15,K20)</f>
        <v>0.28934116676569915</v>
      </c>
      <c r="L22" s="183" t="str">
        <f t="shared" ca="1" si="1"/>
        <v>=CHISQ.DIST.RT(K15,K20)</v>
      </c>
    </row>
    <row r="23" spans="2:12">
      <c r="B23" s="24"/>
      <c r="C23" s="261">
        <f>D6</f>
        <v>26</v>
      </c>
      <c r="D23" s="31">
        <f>G6*D7/G7</f>
        <v>28.549893842887474</v>
      </c>
      <c r="E23" s="26">
        <f t="shared" si="0"/>
        <v>0.22774020267032483</v>
      </c>
      <c r="I23" s="177"/>
      <c r="J23" s="177"/>
      <c r="K23" s="177"/>
      <c r="L23" s="177"/>
    </row>
    <row r="24" spans="2:12">
      <c r="B24" s="24"/>
      <c r="C24" s="261">
        <f>E6</f>
        <v>35</v>
      </c>
      <c r="D24" s="31">
        <f>G6*E7/G7</f>
        <v>29.029723991507431</v>
      </c>
      <c r="E24" s="26">
        <f t="shared" si="0"/>
        <v>1.2278516884283699</v>
      </c>
      <c r="I24" s="197" t="s">
        <v>68</v>
      </c>
      <c r="J24" s="186"/>
      <c r="K24" s="186"/>
      <c r="L24" s="186"/>
    </row>
    <row r="25" spans="2:12" ht="18.75">
      <c r="B25" s="24"/>
      <c r="C25" s="261">
        <f>F6</f>
        <v>41</v>
      </c>
      <c r="D25" s="31">
        <f>G6*F7/G7</f>
        <v>39.825902335456476</v>
      </c>
      <c r="E25" s="26">
        <f t="shared" si="0"/>
        <v>3.4613285451144497E-2</v>
      </c>
      <c r="I25" s="186"/>
      <c r="J25" s="186" t="s">
        <v>393</v>
      </c>
      <c r="K25" s="186"/>
      <c r="L25" s="186"/>
    </row>
    <row r="26" spans="2:12">
      <c r="D26" s="11" t="str">
        <f ca="1">_xlfn.FORMULATEXT(D25)</f>
        <v>=G6*F7/G7</v>
      </c>
      <c r="I26" s="186"/>
      <c r="J26" s="186" t="s">
        <v>108</v>
      </c>
      <c r="K26" s="186"/>
      <c r="L26" s="186"/>
    </row>
  </sheetData>
  <mergeCells count="1">
    <mergeCell ref="C2:F2"/>
  </mergeCells>
  <printOptions headings="1" gridLines="1"/>
  <pageMargins left="0.74803149606299213" right="0.74803149606299213" top="0.98425196850393704" bottom="0.98425196850393704" header="0.51181102362204722" footer="0.51181102362204722"/>
  <pageSetup paperSize="9" scale="67" orientation="landscape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9"/>
  <sheetViews>
    <sheetView workbookViewId="0">
      <selection activeCell="A2" sqref="A2"/>
    </sheetView>
  </sheetViews>
  <sheetFormatPr defaultColWidth="9.140625" defaultRowHeight="15"/>
  <cols>
    <col min="1" max="1" width="5.7109375" style="11" customWidth="1"/>
    <col min="2" max="2" width="8.42578125" style="11" customWidth="1"/>
    <col min="3" max="4" width="12.7109375" style="11" customWidth="1"/>
    <col min="5" max="5" width="21.5703125" style="11" customWidth="1"/>
    <col min="6" max="6" width="9.140625" style="11"/>
    <col min="7" max="7" width="17.7109375" style="11" customWidth="1"/>
    <col min="8" max="8" width="3.7109375" style="11" customWidth="1"/>
    <col min="9" max="9" width="4.5703125" style="11" customWidth="1"/>
    <col min="10" max="10" width="9.140625" style="11"/>
    <col min="11" max="11" width="22.85546875" style="11" customWidth="1"/>
    <col min="12" max="12" width="17.7109375" style="11" customWidth="1"/>
    <col min="13" max="13" width="27.85546875" style="11" customWidth="1"/>
    <col min="14" max="16384" width="9.140625" style="11"/>
  </cols>
  <sheetData>
    <row r="1" spans="1:13">
      <c r="A1" s="10" t="s">
        <v>255</v>
      </c>
    </row>
    <row r="2" spans="1:13">
      <c r="D2" s="306" t="s">
        <v>192</v>
      </c>
      <c r="E2" s="306"/>
      <c r="F2" s="306"/>
    </row>
    <row r="3" spans="1:13">
      <c r="C3" s="85"/>
      <c r="D3" s="19" t="s">
        <v>109</v>
      </c>
      <c r="E3" s="19" t="s">
        <v>110</v>
      </c>
      <c r="F3" s="19" t="s">
        <v>111</v>
      </c>
      <c r="G3" s="22" t="s">
        <v>1</v>
      </c>
      <c r="J3" s="170" t="s">
        <v>64</v>
      </c>
      <c r="K3" s="170"/>
      <c r="L3" s="170"/>
      <c r="M3" s="170"/>
    </row>
    <row r="4" spans="1:13" ht="18">
      <c r="B4" s="303" t="s">
        <v>112</v>
      </c>
      <c r="C4" s="253" t="s">
        <v>109</v>
      </c>
      <c r="D4" s="254">
        <v>90</v>
      </c>
      <c r="E4" s="254">
        <v>81</v>
      </c>
      <c r="F4" s="254">
        <v>8</v>
      </c>
      <c r="G4" s="259">
        <f>SUM(D4:F4)</f>
        <v>179</v>
      </c>
      <c r="J4" s="170"/>
      <c r="K4" s="170" t="s">
        <v>265</v>
      </c>
      <c r="L4" s="170"/>
      <c r="M4" s="170"/>
    </row>
    <row r="5" spans="1:13" ht="18">
      <c r="B5" s="304"/>
      <c r="C5" s="255" t="s">
        <v>110</v>
      </c>
      <c r="D5" s="256">
        <v>61</v>
      </c>
      <c r="E5" s="256">
        <v>90</v>
      </c>
      <c r="F5" s="256">
        <v>8</v>
      </c>
      <c r="G5" s="256">
        <f>SUM(D5:F5)</f>
        <v>159</v>
      </c>
      <c r="J5" s="170"/>
      <c r="K5" s="170" t="s">
        <v>266</v>
      </c>
      <c r="L5" s="170"/>
      <c r="M5" s="170"/>
    </row>
    <row r="6" spans="1:13">
      <c r="B6" s="305"/>
      <c r="C6" s="257" t="s">
        <v>111</v>
      </c>
      <c r="D6" s="258">
        <v>29</v>
      </c>
      <c r="E6" s="258">
        <v>39</v>
      </c>
      <c r="F6" s="258">
        <v>6</v>
      </c>
      <c r="G6" s="258">
        <f>SUM(D6:F6)</f>
        <v>74</v>
      </c>
      <c r="J6" s="170"/>
      <c r="K6" s="170"/>
      <c r="L6" s="170"/>
      <c r="M6" s="170"/>
    </row>
    <row r="7" spans="1:13">
      <c r="C7" s="13" t="s">
        <v>1</v>
      </c>
      <c r="D7" s="22">
        <f>SUM(D4:D6)</f>
        <v>180</v>
      </c>
      <c r="E7" s="22">
        <f>SUM(E4:E6)</f>
        <v>210</v>
      </c>
      <c r="F7" s="22">
        <f>SUM(F4:F6)</f>
        <v>22</v>
      </c>
      <c r="G7" s="22">
        <f>SUM(G4:G6)</f>
        <v>412</v>
      </c>
      <c r="J7" s="171" t="s">
        <v>65</v>
      </c>
      <c r="K7" s="171"/>
      <c r="L7" s="171"/>
      <c r="M7" s="171"/>
    </row>
    <row r="8" spans="1:13">
      <c r="D8" s="18" t="str">
        <f ca="1">_xlfn.FORMULATEXT(D7)</f>
        <v>=SUM(D4:D6)</v>
      </c>
      <c r="E8" s="24"/>
      <c r="F8" s="24"/>
      <c r="G8" s="18" t="str">
        <f ca="1">_xlfn.FORMULATEXT(G7)</f>
        <v>=SUM(G4:G6)</v>
      </c>
      <c r="J8" s="171"/>
      <c r="K8" s="171" t="s">
        <v>4</v>
      </c>
      <c r="L8" s="171"/>
      <c r="M8" s="171"/>
    </row>
    <row r="9" spans="1:13">
      <c r="J9" s="171"/>
      <c r="K9" s="171" t="s">
        <v>197</v>
      </c>
      <c r="L9" s="171"/>
      <c r="M9" s="171"/>
    </row>
    <row r="10" spans="1:13">
      <c r="D10" s="15"/>
      <c r="E10" s="15"/>
      <c r="F10" s="15"/>
      <c r="G10" s="15"/>
      <c r="J10" s="171"/>
      <c r="K10" s="171"/>
      <c r="L10" s="171"/>
      <c r="M10" s="171"/>
    </row>
    <row r="11" spans="1:13">
      <c r="J11" s="173" t="s">
        <v>66</v>
      </c>
      <c r="K11" s="173"/>
      <c r="L11" s="173"/>
      <c r="M11" s="173"/>
    </row>
    <row r="12" spans="1:13">
      <c r="C12" s="11" t="s">
        <v>93</v>
      </c>
      <c r="J12" s="173"/>
      <c r="K12" s="174" t="s">
        <v>94</v>
      </c>
      <c r="L12" s="175">
        <v>0.05</v>
      </c>
      <c r="M12" s="173"/>
    </row>
    <row r="13" spans="1:13">
      <c r="J13" s="173"/>
      <c r="K13" s="173"/>
      <c r="L13" s="173"/>
      <c r="M13" s="173"/>
    </row>
    <row r="14" spans="1:13" ht="17.25">
      <c r="D14" s="19" t="s">
        <v>2</v>
      </c>
      <c r="E14" s="19" t="s">
        <v>5</v>
      </c>
      <c r="F14" s="19" t="s">
        <v>260</v>
      </c>
      <c r="G14" s="15" t="s">
        <v>96</v>
      </c>
      <c r="J14" s="177" t="s">
        <v>67</v>
      </c>
      <c r="K14" s="177"/>
      <c r="L14" s="177"/>
      <c r="M14" s="177"/>
    </row>
    <row r="15" spans="1:13" ht="18.75">
      <c r="C15" s="282" t="s">
        <v>109</v>
      </c>
      <c r="D15" s="259">
        <f>D4</f>
        <v>90</v>
      </c>
      <c r="E15" s="32">
        <f>G4*D7/G7</f>
        <v>78.203883495145632</v>
      </c>
      <c r="F15" s="26">
        <f t="shared" ref="F15:F23" si="0">(D15-E15)^2/E15</f>
        <v>1.7793024895590384</v>
      </c>
      <c r="J15" s="177"/>
      <c r="K15" s="288" t="s">
        <v>389</v>
      </c>
      <c r="L15" s="179">
        <f>SUM(F15:F23)</f>
        <v>10.800287064581482</v>
      </c>
      <c r="M15" s="195" t="str">
        <f ca="1">_xlfn.FORMULATEXT(L15)</f>
        <v>=SUM(F15:F23)</v>
      </c>
    </row>
    <row r="16" spans="1:13">
      <c r="D16" s="259">
        <f>E4</f>
        <v>81</v>
      </c>
      <c r="E16" s="32">
        <f>G4*E7/G7</f>
        <v>91.237864077669897</v>
      </c>
      <c r="F16" s="26">
        <f t="shared" si="0"/>
        <v>1.1487978366483533</v>
      </c>
      <c r="J16" s="177"/>
      <c r="K16" s="177"/>
      <c r="L16" s="177"/>
      <c r="M16" s="177"/>
    </row>
    <row r="17" spans="3:13">
      <c r="D17" s="259">
        <f>F4</f>
        <v>8</v>
      </c>
      <c r="E17" s="32">
        <f>G4*F7/G7</f>
        <v>9.5582524271844669</v>
      </c>
      <c r="F17" s="26">
        <f t="shared" si="0"/>
        <v>0.25403708944957548</v>
      </c>
      <c r="J17" s="177"/>
      <c r="K17" s="182" t="s">
        <v>6</v>
      </c>
      <c r="L17" s="177"/>
      <c r="M17" s="177"/>
    </row>
    <row r="18" spans="3:13">
      <c r="C18" s="283" t="s">
        <v>110</v>
      </c>
      <c r="D18" s="256">
        <f>D5</f>
        <v>61</v>
      </c>
      <c r="E18" s="32">
        <f>G5*D7/G7</f>
        <v>69.466019417475735</v>
      </c>
      <c r="F18" s="26">
        <f t="shared" si="0"/>
        <v>1.0317776285169595</v>
      </c>
      <c r="J18" s="177"/>
      <c r="K18" s="178" t="s">
        <v>7</v>
      </c>
      <c r="L18" s="181">
        <f>COUNT(D4:D6)</f>
        <v>3</v>
      </c>
      <c r="M18" s="195" t="str">
        <f t="shared" ref="M18:M22" ca="1" si="1">_xlfn.FORMULATEXT(L18)</f>
        <v>=COUNT(D4:D6)</v>
      </c>
    </row>
    <row r="19" spans="3:13">
      <c r="C19" s="14"/>
      <c r="D19" s="256">
        <f>E5</f>
        <v>90</v>
      </c>
      <c r="E19" s="32">
        <f>G5*E7/G7</f>
        <v>81.043689320388353</v>
      </c>
      <c r="F19" s="26">
        <f t="shared" si="0"/>
        <v>0.98978096459320042</v>
      </c>
      <c r="J19" s="177"/>
      <c r="K19" s="178" t="s">
        <v>8</v>
      </c>
      <c r="L19" s="181">
        <f>COUNT(D4:F4)</f>
        <v>3</v>
      </c>
      <c r="M19" s="195" t="str">
        <f t="shared" ca="1" si="1"/>
        <v>=COUNT(D4:F4)</v>
      </c>
    </row>
    <row r="20" spans="3:13">
      <c r="C20" s="14"/>
      <c r="D20" s="256">
        <f>F5</f>
        <v>8</v>
      </c>
      <c r="E20" s="32">
        <f>G6*F7/G7</f>
        <v>3.9514563106796117</v>
      </c>
      <c r="F20" s="26">
        <f t="shared" si="0"/>
        <v>4.1480165072398067</v>
      </c>
      <c r="J20" s="177"/>
      <c r="K20" s="178" t="s">
        <v>9</v>
      </c>
      <c r="L20" s="181">
        <f>(L18-1)*(L19-1)</f>
        <v>4</v>
      </c>
      <c r="M20" s="195" t="str">
        <f t="shared" ca="1" si="1"/>
        <v>=(L18-1)*(L19-1)</v>
      </c>
    </row>
    <row r="21" spans="3:13" ht="18.75">
      <c r="C21" s="284" t="s">
        <v>111</v>
      </c>
      <c r="D21" s="260">
        <f>D6</f>
        <v>29</v>
      </c>
      <c r="E21" s="32">
        <f>G6*D7/G7</f>
        <v>32.33009708737864</v>
      </c>
      <c r="F21" s="26">
        <f t="shared" si="0"/>
        <v>0.34301000029155349</v>
      </c>
      <c r="J21" s="177"/>
      <c r="K21" s="178" t="s">
        <v>390</v>
      </c>
      <c r="L21" s="196">
        <f>_xlfn.CHISQ.INV.RT(L12,L20)</f>
        <v>9.4877290367811575</v>
      </c>
      <c r="M21" s="195" t="str">
        <f t="shared" ca="1" si="1"/>
        <v>=CHISQ.INV.RT(L12,L20)</v>
      </c>
    </row>
    <row r="22" spans="3:13">
      <c r="D22" s="260">
        <f>E6</f>
        <v>39</v>
      </c>
      <c r="E22" s="32">
        <f>G6*E7/G7</f>
        <v>37.71844660194175</v>
      </c>
      <c r="F22" s="26">
        <f t="shared" si="0"/>
        <v>4.3543127038272504E-2</v>
      </c>
      <c r="J22" s="177"/>
      <c r="K22" s="178" t="s">
        <v>70</v>
      </c>
      <c r="L22" s="196">
        <f>_xlfn.CHISQ.DIST.RT(L15,L20)</f>
        <v>2.8902617551291383E-2</v>
      </c>
      <c r="M22" s="195" t="str">
        <f t="shared" ca="1" si="1"/>
        <v>=CHISQ.DIST.RT(L15,L20)</v>
      </c>
    </row>
    <row r="23" spans="3:13">
      <c r="D23" s="260">
        <f>F6</f>
        <v>6</v>
      </c>
      <c r="E23" s="32">
        <f>G6*F7/G7</f>
        <v>3.9514563106796117</v>
      </c>
      <c r="F23" s="26">
        <f t="shared" si="0"/>
        <v>1.0620214212447223</v>
      </c>
      <c r="J23" s="177"/>
      <c r="K23" s="177"/>
      <c r="L23" s="177"/>
      <c r="M23" s="177"/>
    </row>
    <row r="24" spans="3:13">
      <c r="C24" s="24"/>
      <c r="D24" s="28"/>
      <c r="E24" s="18" t="str">
        <f ca="1">_xlfn.FORMULATEXT(E23)</f>
        <v>=G6*F7/G7</v>
      </c>
      <c r="F24" s="18" t="str">
        <f ca="1">_xlfn.FORMULATEXT(F23)</f>
        <v>=(D23-E23)^2/E23</v>
      </c>
      <c r="J24" s="197" t="s">
        <v>68</v>
      </c>
      <c r="K24" s="186"/>
      <c r="L24" s="186"/>
      <c r="M24" s="186"/>
    </row>
    <row r="25" spans="3:13" ht="18.75">
      <c r="J25" s="186"/>
      <c r="K25" s="186" t="s">
        <v>394</v>
      </c>
      <c r="L25" s="186"/>
      <c r="M25" s="186"/>
    </row>
    <row r="26" spans="3:13">
      <c r="J26" s="186"/>
      <c r="K26" s="186" t="s">
        <v>113</v>
      </c>
      <c r="L26" s="186"/>
      <c r="M26" s="186"/>
    </row>
    <row r="27" spans="3:13">
      <c r="J27" s="186"/>
      <c r="K27" s="186" t="s">
        <v>114</v>
      </c>
      <c r="L27" s="186"/>
      <c r="M27" s="186"/>
    </row>
    <row r="39" spans="22:22">
      <c r="V39" s="11">
        <v>8</v>
      </c>
    </row>
  </sheetData>
  <mergeCells count="2">
    <mergeCell ref="B4:B6"/>
    <mergeCell ref="D2:F2"/>
  </mergeCells>
  <printOptions headings="1" gridLines="1"/>
  <pageMargins left="0.74803149606299213" right="0.74803149606299213" top="0.98425196850393704" bottom="0.98425196850393704" header="0.51181102362204722" footer="0.51181102362204722"/>
  <pageSetup paperSize="9" scale="73" orientation="landscape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4"/>
  <sheetViews>
    <sheetView zoomScaleNormal="100" workbookViewId="0">
      <selection activeCell="A2" sqref="A2"/>
    </sheetView>
  </sheetViews>
  <sheetFormatPr defaultColWidth="9.140625" defaultRowHeight="15"/>
  <cols>
    <col min="1" max="1" width="4.5703125" style="34" customWidth="1"/>
    <col min="2" max="2" width="20.28515625" style="34" customWidth="1"/>
    <col min="3" max="3" width="15.140625" style="34" customWidth="1"/>
    <col min="4" max="4" width="13.85546875" style="34" customWidth="1"/>
    <col min="5" max="5" width="12.7109375" style="34" customWidth="1"/>
    <col min="6" max="6" width="17.5703125" style="34" customWidth="1"/>
    <col min="7" max="7" width="11.28515625" style="34" customWidth="1"/>
    <col min="8" max="8" width="24.5703125" style="34" customWidth="1"/>
    <col min="9" max="9" width="39.7109375" style="34" customWidth="1"/>
    <col min="10" max="10" width="21" style="34" customWidth="1"/>
    <col min="11" max="11" width="38.140625" style="34" customWidth="1"/>
    <col min="12" max="12" width="5.7109375" style="34" customWidth="1"/>
    <col min="13" max="16384" width="9.140625" style="34"/>
  </cols>
  <sheetData>
    <row r="1" spans="1:13">
      <c r="A1" s="33" t="s">
        <v>256</v>
      </c>
    </row>
    <row r="3" spans="1:13">
      <c r="A3" s="33"/>
      <c r="B3" s="34" t="s">
        <v>0</v>
      </c>
    </row>
    <row r="4" spans="1:13">
      <c r="A4" s="33"/>
      <c r="H4" s="35" t="s">
        <v>64</v>
      </c>
      <c r="I4" s="36"/>
      <c r="J4" s="36"/>
      <c r="K4" s="36"/>
    </row>
    <row r="5" spans="1:13" ht="30">
      <c r="B5" s="37"/>
      <c r="C5" s="285" t="s">
        <v>116</v>
      </c>
      <c r="D5" s="285" t="s">
        <v>115</v>
      </c>
      <c r="E5" s="38" t="s">
        <v>10</v>
      </c>
      <c r="H5" s="36"/>
      <c r="I5" s="36" t="s">
        <v>267</v>
      </c>
      <c r="J5" s="36"/>
      <c r="K5" s="36"/>
    </row>
    <row r="6" spans="1:13" ht="15" customHeight="1">
      <c r="B6" s="286" t="s">
        <v>117</v>
      </c>
      <c r="C6" s="39">
        <v>16</v>
      </c>
      <c r="D6" s="39">
        <v>24</v>
      </c>
      <c r="E6" s="38">
        <f>SUM(C6:D6)</f>
        <v>40</v>
      </c>
      <c r="F6" s="40" t="str">
        <f ca="1">_xlfn.FORMULATEXT(E6)</f>
        <v>=SUM(C6:D6)</v>
      </c>
      <c r="H6" s="36"/>
      <c r="I6" s="36" t="s">
        <v>268</v>
      </c>
      <c r="J6" s="36"/>
      <c r="K6" s="36"/>
      <c r="L6" s="41"/>
      <c r="M6" s="41"/>
    </row>
    <row r="7" spans="1:13" ht="15" customHeight="1">
      <c r="B7" s="286" t="s">
        <v>118</v>
      </c>
      <c r="C7" s="39">
        <v>4</v>
      </c>
      <c r="D7" s="39">
        <v>56</v>
      </c>
      <c r="E7" s="38">
        <f>SUM(C7:D7)</f>
        <v>60</v>
      </c>
      <c r="F7" s="40" t="str">
        <f t="shared" ref="F7:F8" ca="1" si="0">_xlfn.FORMULATEXT(E7)</f>
        <v>=SUM(C7:D7)</v>
      </c>
      <c r="H7" s="43" t="s">
        <v>65</v>
      </c>
      <c r="I7" s="44"/>
      <c r="J7" s="44"/>
      <c r="K7" s="44"/>
      <c r="L7" s="41"/>
      <c r="M7" s="41"/>
    </row>
    <row r="8" spans="1:13">
      <c r="B8" s="42" t="s">
        <v>10</v>
      </c>
      <c r="C8" s="38">
        <f>SUM(C6:C7)</f>
        <v>20</v>
      </c>
      <c r="D8" s="38">
        <f>SUM(D6:D7)</f>
        <v>80</v>
      </c>
      <c r="E8" s="38">
        <f>SUM(E6:E7)</f>
        <v>100</v>
      </c>
      <c r="F8" s="40" t="str">
        <f t="shared" ca="1" si="0"/>
        <v>=SUM(E6:E7)</v>
      </c>
      <c r="H8" s="44"/>
      <c r="I8" s="44" t="s">
        <v>4</v>
      </c>
      <c r="J8" s="44"/>
      <c r="K8" s="44"/>
    </row>
    <row r="9" spans="1:13">
      <c r="B9" s="45"/>
      <c r="C9" s="40" t="str">
        <f ca="1">_xlfn.FORMULATEXT(C8)</f>
        <v>=SUM(C6:C7)</v>
      </c>
      <c r="D9" s="40" t="str">
        <f t="shared" ref="D9:E9" ca="1" si="1">_xlfn.FORMULATEXT(D8)</f>
        <v>=SUM(D6:D7)</v>
      </c>
      <c r="E9" s="40" t="str">
        <f t="shared" ca="1" si="1"/>
        <v>=SUM(E6:E7)</v>
      </c>
      <c r="H9" s="44"/>
      <c r="I9" s="44" t="s">
        <v>121</v>
      </c>
      <c r="J9" s="44"/>
      <c r="K9" s="44"/>
    </row>
    <row r="10" spans="1:13">
      <c r="B10" s="45"/>
      <c r="H10" s="47" t="s">
        <v>66</v>
      </c>
      <c r="I10" s="48"/>
      <c r="J10" s="48"/>
      <c r="K10" s="48"/>
    </row>
    <row r="11" spans="1:13">
      <c r="B11" s="34" t="s">
        <v>379</v>
      </c>
      <c r="H11" s="48"/>
      <c r="I11" s="50" t="s">
        <v>60</v>
      </c>
      <c r="J11" s="51">
        <v>0.05</v>
      </c>
      <c r="K11" s="48"/>
    </row>
    <row r="12" spans="1:13">
      <c r="C12" s="46" t="s">
        <v>119</v>
      </c>
      <c r="D12" s="46" t="s">
        <v>120</v>
      </c>
      <c r="E12" s="307" t="s">
        <v>11</v>
      </c>
      <c r="F12" s="307"/>
      <c r="H12" s="52" t="s">
        <v>67</v>
      </c>
      <c r="I12" s="53"/>
      <c r="J12" s="53"/>
      <c r="K12" s="53"/>
    </row>
    <row r="13" spans="1:13">
      <c r="C13" s="49">
        <f>$E6*C$8/$E$8</f>
        <v>8</v>
      </c>
      <c r="D13" s="49">
        <f>$E6*D$8/$E$8</f>
        <v>32</v>
      </c>
      <c r="E13" s="49">
        <f>(C6-C13)^2/C13</f>
        <v>8</v>
      </c>
      <c r="F13" s="49">
        <f>(D6-D13)^2/D13</f>
        <v>2</v>
      </c>
      <c r="H13" s="53"/>
      <c r="I13" s="55" t="s">
        <v>12</v>
      </c>
      <c r="J13" s="59">
        <f>E6/E8</f>
        <v>0.4</v>
      </c>
      <c r="K13" s="54" t="str">
        <f ca="1">_xlfn.FORMULATEXT(J13)</f>
        <v>=E6/E8</v>
      </c>
    </row>
    <row r="14" spans="1:13" ht="18.75">
      <c r="C14" s="49">
        <f>$E7*C$8/$E$8</f>
        <v>12</v>
      </c>
      <c r="D14" s="49">
        <f>$E7*D$8/$E$8</f>
        <v>48</v>
      </c>
      <c r="E14" s="49">
        <f>(C7-C14)^2/C14</f>
        <v>5.333333333333333</v>
      </c>
      <c r="F14" s="49">
        <f>(D7-D14)^2/D14</f>
        <v>1.3333333333333333</v>
      </c>
      <c r="H14" s="53"/>
      <c r="I14" s="55" t="s">
        <v>395</v>
      </c>
      <c r="J14" s="59">
        <f>SUM(E13:F14)</f>
        <v>16.666666666666664</v>
      </c>
      <c r="K14" s="54" t="str">
        <f t="shared" ref="K14:K22" ca="1" si="2">_xlfn.FORMULATEXT(J14)</f>
        <v>=SUM(E13:F14)</v>
      </c>
    </row>
    <row r="15" spans="1:13">
      <c r="C15" s="40" t="str">
        <f t="shared" ref="C15:E15" ca="1" si="3">_xlfn.FORMULATEXT(C14)</f>
        <v>=$E7*C$8/$E$8</v>
      </c>
      <c r="D15" s="40"/>
      <c r="E15" s="40" t="str">
        <f t="shared" ca="1" si="3"/>
        <v>=(C7-C14)^2/C14</v>
      </c>
      <c r="F15" s="40"/>
      <c r="H15" s="53"/>
      <c r="I15" s="55" t="s">
        <v>7</v>
      </c>
      <c r="J15" s="56">
        <f>COUNTA(B6:B7)</f>
        <v>2</v>
      </c>
      <c r="K15" s="54" t="str">
        <f t="shared" ca="1" si="2"/>
        <v>=COUNTA(B6:B7)</v>
      </c>
    </row>
    <row r="16" spans="1:13">
      <c r="H16" s="53"/>
      <c r="I16" s="55" t="s">
        <v>8</v>
      </c>
      <c r="J16" s="56">
        <f>COUNTA(C5:D5)</f>
        <v>2</v>
      </c>
      <c r="K16" s="54" t="str">
        <f t="shared" ca="1" si="2"/>
        <v>=COUNTA(C5:D5)</v>
      </c>
    </row>
    <row r="17" spans="2:11">
      <c r="H17" s="53"/>
      <c r="I17" s="55" t="s">
        <v>9</v>
      </c>
      <c r="J17" s="56">
        <f>(J15-1)*(J16-1)</f>
        <v>1</v>
      </c>
      <c r="K17" s="54" t="str">
        <f t="shared" ca="1" si="2"/>
        <v>=(J15-1)*(J16-1)</v>
      </c>
    </row>
    <row r="18" spans="2:11">
      <c r="H18" s="53"/>
      <c r="I18" s="53"/>
      <c r="J18" s="53"/>
      <c r="K18" s="54"/>
    </row>
    <row r="19" spans="2:11">
      <c r="H19" s="57" t="s">
        <v>56</v>
      </c>
      <c r="I19" s="55" t="s">
        <v>13</v>
      </c>
      <c r="J19" s="252">
        <f>_xlfn.CHISQ.DIST.RT(J14,J17)</f>
        <v>4.455709060405622E-5</v>
      </c>
      <c r="K19" s="54" t="str">
        <f t="shared" ca="1" si="2"/>
        <v>=CHISQ.DIST.RT(J14,J17)</v>
      </c>
    </row>
    <row r="20" spans="2:11">
      <c r="H20" s="57" t="s">
        <v>57</v>
      </c>
      <c r="I20" s="55" t="s">
        <v>63</v>
      </c>
      <c r="J20" s="252">
        <f>1-_xlfn.CHISQ.DIST(J14,J17,TRUE)</f>
        <v>4.4557090604024907E-5</v>
      </c>
      <c r="K20" s="54" t="str">
        <f t="shared" ca="1" si="2"/>
        <v>=1-CHISQ.DIST(J14,J17,TRUE)</v>
      </c>
    </row>
    <row r="21" spans="2:11">
      <c r="H21" s="57" t="s">
        <v>58</v>
      </c>
      <c r="I21" s="55" t="s">
        <v>69</v>
      </c>
      <c r="J21" s="252">
        <f>_xlfn.CHISQ.TEST(C6:D7,C13:D14)</f>
        <v>4.455709060405622E-5</v>
      </c>
      <c r="K21" s="54" t="str">
        <f t="shared" ca="1" si="2"/>
        <v>=CHISQ.TEST(C6:D7,C13:D14)</v>
      </c>
    </row>
    <row r="22" spans="2:11" ht="18.75">
      <c r="H22" s="57" t="s">
        <v>55</v>
      </c>
      <c r="I22" s="55" t="s">
        <v>390</v>
      </c>
      <c r="J22" s="59">
        <f>_xlfn.CHISQ.INV.RT(J11,J17)</f>
        <v>3.8414588206941236</v>
      </c>
      <c r="K22" s="54" t="str">
        <f t="shared" ca="1" si="2"/>
        <v>=CHISQ.INV.RT(J11,J17)</v>
      </c>
    </row>
    <row r="23" spans="2:11">
      <c r="H23" s="62" t="s">
        <v>68</v>
      </c>
      <c r="I23" s="63"/>
      <c r="J23" s="63"/>
      <c r="K23" s="63"/>
    </row>
    <row r="24" spans="2:11" ht="18">
      <c r="G24" s="7" t="s">
        <v>54</v>
      </c>
      <c r="H24" s="63"/>
      <c r="I24" s="63" t="s">
        <v>269</v>
      </c>
      <c r="J24" s="63"/>
      <c r="K24" s="63" t="s">
        <v>380</v>
      </c>
    </row>
    <row r="25" spans="2:11" ht="18.75">
      <c r="G25" s="7" t="s">
        <v>55</v>
      </c>
      <c r="H25" s="63"/>
      <c r="I25" s="63" t="s">
        <v>396</v>
      </c>
      <c r="J25" s="63"/>
      <c r="K25" s="63" t="s">
        <v>381</v>
      </c>
    </row>
    <row r="26" spans="2:11">
      <c r="B26" s="45"/>
      <c r="D26" s="45"/>
      <c r="F26" s="45"/>
      <c r="H26" s="63"/>
      <c r="I26" s="63" t="s">
        <v>122</v>
      </c>
      <c r="J26" s="63"/>
      <c r="K26" s="63"/>
    </row>
    <row r="27" spans="2:11">
      <c r="B27" s="45"/>
      <c r="C27" s="40"/>
      <c r="D27" s="61"/>
      <c r="E27" s="40"/>
      <c r="F27" s="41"/>
    </row>
    <row r="28" spans="2:11">
      <c r="B28" s="45"/>
      <c r="C28" s="40"/>
      <c r="D28" s="61"/>
      <c r="E28" s="40"/>
      <c r="F28" s="41"/>
    </row>
    <row r="29" spans="2:11">
      <c r="B29" s="45"/>
      <c r="C29" s="40"/>
      <c r="D29" s="61"/>
      <c r="E29" s="40"/>
      <c r="F29" s="41"/>
    </row>
    <row r="30" spans="2:11">
      <c r="B30" s="45"/>
      <c r="C30" s="40"/>
      <c r="D30" s="61"/>
      <c r="E30" s="40"/>
      <c r="F30" s="41"/>
    </row>
    <row r="35" spans="11:11">
      <c r="K35" s="64"/>
    </row>
    <row r="36" spans="11:11">
      <c r="K36" s="64"/>
    </row>
    <row r="37" spans="11:11">
      <c r="K37" s="64"/>
    </row>
    <row r="38" spans="11:11">
      <c r="K38" s="64"/>
    </row>
    <row r="39" spans="11:11">
      <c r="K39" s="64"/>
    </row>
    <row r="40" spans="11:11">
      <c r="K40" s="64"/>
    </row>
    <row r="54" spans="12:12">
      <c r="L54" s="64"/>
    </row>
  </sheetData>
  <mergeCells count="1">
    <mergeCell ref="E12:F12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4"/>
  <sheetViews>
    <sheetView zoomScaleNormal="100" workbookViewId="0">
      <selection activeCell="A2" sqref="A2"/>
    </sheetView>
  </sheetViews>
  <sheetFormatPr defaultColWidth="9.140625" defaultRowHeight="15"/>
  <cols>
    <col min="1" max="1" width="4.5703125" style="34" customWidth="1"/>
    <col min="2" max="2" width="13.5703125" style="34" customWidth="1"/>
    <col min="3" max="3" width="15.140625" style="34" customWidth="1"/>
    <col min="4" max="4" width="13.85546875" style="34" customWidth="1"/>
    <col min="5" max="5" width="12.7109375" style="34" customWidth="1"/>
    <col min="6" max="6" width="17.5703125" style="34" customWidth="1"/>
    <col min="7" max="7" width="11.28515625" style="34" customWidth="1"/>
    <col min="8" max="8" width="24.5703125" style="34" customWidth="1"/>
    <col min="9" max="9" width="39.7109375" style="34" customWidth="1"/>
    <col min="10" max="10" width="21" style="34" customWidth="1"/>
    <col min="11" max="11" width="38.140625" style="34" customWidth="1"/>
    <col min="12" max="12" width="5.7109375" style="34" customWidth="1"/>
    <col min="13" max="16384" width="9.140625" style="34"/>
  </cols>
  <sheetData>
    <row r="1" spans="1:13">
      <c r="A1" s="33" t="s">
        <v>257</v>
      </c>
    </row>
    <row r="3" spans="1:13">
      <c r="A3" s="33"/>
      <c r="B3" s="34" t="s">
        <v>0</v>
      </c>
    </row>
    <row r="4" spans="1:13">
      <c r="A4" s="33"/>
      <c r="H4" s="35" t="s">
        <v>64</v>
      </c>
      <c r="I4" s="36"/>
      <c r="J4" s="36"/>
      <c r="K4" s="36"/>
    </row>
    <row r="5" spans="1:13" ht="18">
      <c r="B5" s="37"/>
      <c r="C5" s="285" t="s">
        <v>40</v>
      </c>
      <c r="D5" s="285" t="s">
        <v>41</v>
      </c>
      <c r="E5" s="38" t="s">
        <v>10</v>
      </c>
      <c r="H5" s="36"/>
      <c r="I5" s="36" t="s">
        <v>267</v>
      </c>
      <c r="J5" s="36"/>
      <c r="K5" s="36"/>
    </row>
    <row r="6" spans="1:13" ht="15" customHeight="1">
      <c r="B6" s="286" t="s">
        <v>123</v>
      </c>
      <c r="C6" s="39">
        <v>163</v>
      </c>
      <c r="D6" s="39">
        <v>154</v>
      </c>
      <c r="E6" s="38">
        <f>SUM(C6:D6)</f>
        <v>317</v>
      </c>
      <c r="F6" s="40" t="str">
        <f ca="1">_xlfn.FORMULATEXT(E6)</f>
        <v>=SUM(C6:D6)</v>
      </c>
      <c r="H6" s="36"/>
      <c r="I6" s="36" t="s">
        <v>268</v>
      </c>
      <c r="J6" s="36"/>
      <c r="K6" s="36"/>
      <c r="L6" s="41"/>
      <c r="M6" s="41"/>
    </row>
    <row r="7" spans="1:13" ht="15" customHeight="1">
      <c r="B7" s="286" t="s">
        <v>124</v>
      </c>
      <c r="C7" s="39">
        <v>64</v>
      </c>
      <c r="D7" s="39">
        <v>108</v>
      </c>
      <c r="E7" s="38">
        <f>SUM(C7:D7)</f>
        <v>172</v>
      </c>
      <c r="F7" s="40" t="str">
        <f t="shared" ref="F7:F8" ca="1" si="0">_xlfn.FORMULATEXT(E7)</f>
        <v>=SUM(C7:D7)</v>
      </c>
      <c r="H7" s="43" t="s">
        <v>65</v>
      </c>
      <c r="I7" s="44"/>
      <c r="J7" s="44"/>
      <c r="K7" s="44"/>
      <c r="L7" s="41"/>
      <c r="M7" s="41"/>
    </row>
    <row r="8" spans="1:13">
      <c r="B8" s="42" t="s">
        <v>10</v>
      </c>
      <c r="C8" s="38">
        <f>SUM(C6:C7)</f>
        <v>227</v>
      </c>
      <c r="D8" s="38">
        <f>SUM(D6:D7)</f>
        <v>262</v>
      </c>
      <c r="E8" s="38">
        <f>SUM(E6:E7)</f>
        <v>489</v>
      </c>
      <c r="F8" s="40" t="str">
        <f t="shared" ca="1" si="0"/>
        <v>=SUM(E6:E7)</v>
      </c>
      <c r="H8" s="44"/>
      <c r="I8" s="44" t="s">
        <v>4</v>
      </c>
      <c r="J8" s="44"/>
      <c r="K8" s="44"/>
    </row>
    <row r="9" spans="1:13">
      <c r="B9" s="45"/>
      <c r="C9" s="40" t="str">
        <f ca="1">_xlfn.FORMULATEXT(C8)</f>
        <v>=SUM(C6:C7)</v>
      </c>
      <c r="D9" s="40" t="str">
        <f t="shared" ref="D9:E9" ca="1" si="1">_xlfn.FORMULATEXT(D8)</f>
        <v>=SUM(D6:D7)</v>
      </c>
      <c r="E9" s="40" t="str">
        <f t="shared" ca="1" si="1"/>
        <v>=SUM(E6:E7)</v>
      </c>
      <c r="H9" s="44"/>
      <c r="I9" s="44" t="s">
        <v>121</v>
      </c>
      <c r="J9" s="44"/>
      <c r="K9" s="44"/>
    </row>
    <row r="10" spans="1:13">
      <c r="B10" s="45"/>
      <c r="H10" s="47" t="s">
        <v>66</v>
      </c>
      <c r="I10" s="48"/>
      <c r="J10" s="48"/>
      <c r="K10" s="48"/>
    </row>
    <row r="11" spans="1:13">
      <c r="B11" s="34" t="s">
        <v>379</v>
      </c>
      <c r="H11" s="48"/>
      <c r="I11" s="50" t="s">
        <v>60</v>
      </c>
      <c r="J11" s="51">
        <v>0.05</v>
      </c>
      <c r="K11" s="48"/>
    </row>
    <row r="12" spans="1:13">
      <c r="C12" s="46" t="s">
        <v>119</v>
      </c>
      <c r="D12" s="46" t="s">
        <v>120</v>
      </c>
      <c r="E12" s="307" t="s">
        <v>11</v>
      </c>
      <c r="F12" s="307"/>
      <c r="H12" s="52" t="s">
        <v>67</v>
      </c>
      <c r="I12" s="53"/>
      <c r="J12" s="53"/>
      <c r="K12" s="53"/>
    </row>
    <row r="13" spans="1:13">
      <c r="C13" s="49">
        <f>$E6*C$8/$E$8</f>
        <v>147.15541922290387</v>
      </c>
      <c r="D13" s="49">
        <f>$E6*D$8/$E$8</f>
        <v>169.84458077709613</v>
      </c>
      <c r="E13" s="49">
        <f>(C6-C13)^2/C13</f>
        <v>1.7060244286460469</v>
      </c>
      <c r="F13" s="49">
        <f>(D6-D13)^2/D13</f>
        <v>1.4781204019185212</v>
      </c>
      <c r="H13" s="53"/>
      <c r="I13" s="55" t="s">
        <v>12</v>
      </c>
      <c r="J13" s="59">
        <f>E6/E8</f>
        <v>0.6482617586912065</v>
      </c>
      <c r="K13" s="54" t="str">
        <f t="shared" ref="K13:K17" ca="1" si="2">_xlfn.FORMULATEXT(J13)</f>
        <v>=E6/E8</v>
      </c>
    </row>
    <row r="14" spans="1:13" ht="18.75">
      <c r="C14" s="49">
        <f>$E7*C$8/$E$8</f>
        <v>79.844580777096112</v>
      </c>
      <c r="D14" s="49">
        <f>$E7*D$8/$E$8</f>
        <v>92.155419222903888</v>
      </c>
      <c r="E14" s="49">
        <f>(C7-C14)^2/C14</f>
        <v>3.1442426969813715</v>
      </c>
      <c r="F14" s="49">
        <f>(D7-D14)^2/D14</f>
        <v>2.7242102756288982</v>
      </c>
      <c r="H14" s="53"/>
      <c r="I14" s="55" t="s">
        <v>395</v>
      </c>
      <c r="J14" s="59">
        <f>SUM(E13:F14)</f>
        <v>9.0525978031748373</v>
      </c>
      <c r="K14" s="54" t="str">
        <f t="shared" ca="1" si="2"/>
        <v>=SUM(E13:F14)</v>
      </c>
    </row>
    <row r="15" spans="1:13">
      <c r="C15" s="40" t="str">
        <f ca="1">_xlfn.FORMULATEXT(C14)</f>
        <v>=$E7*C$8/$E$8</v>
      </c>
      <c r="D15" s="40"/>
      <c r="E15" s="40" t="str">
        <f ca="1">_xlfn.FORMULATEXT(E14)</f>
        <v>=(C7-C14)^2/C14</v>
      </c>
      <c r="H15" s="53"/>
      <c r="I15" s="55" t="s">
        <v>7</v>
      </c>
      <c r="J15" s="56">
        <f>COUNTA(B6:B7)</f>
        <v>2</v>
      </c>
      <c r="K15" s="54" t="str">
        <f t="shared" ca="1" si="2"/>
        <v>=COUNTA(B6:B7)</v>
      </c>
    </row>
    <row r="16" spans="1:13">
      <c r="H16" s="53"/>
      <c r="I16" s="55" t="s">
        <v>8</v>
      </c>
      <c r="J16" s="56">
        <f>COUNTA(C5:D5)</f>
        <v>2</v>
      </c>
      <c r="K16" s="54" t="str">
        <f t="shared" ca="1" si="2"/>
        <v>=COUNTA(C5:D5)</v>
      </c>
    </row>
    <row r="17" spans="2:11">
      <c r="H17" s="53"/>
      <c r="I17" s="55" t="s">
        <v>9</v>
      </c>
      <c r="J17" s="56">
        <f>(J15-1)*(J16-1)</f>
        <v>1</v>
      </c>
      <c r="K17" s="54" t="str">
        <f t="shared" ca="1" si="2"/>
        <v>=(J15-1)*(J16-1)</v>
      </c>
    </row>
    <row r="18" spans="2:11">
      <c r="H18" s="53"/>
      <c r="I18" s="53"/>
      <c r="J18" s="53"/>
      <c r="K18" s="53"/>
    </row>
    <row r="19" spans="2:11">
      <c r="H19" s="57" t="s">
        <v>56</v>
      </c>
      <c r="I19" s="55" t="s">
        <v>13</v>
      </c>
      <c r="J19" s="58">
        <f>_xlfn.CHISQ.DIST.RT(J14,J17)</f>
        <v>2.6232183024964737E-3</v>
      </c>
      <c r="K19" s="54" t="str">
        <f t="shared" ref="K19:K22" ca="1" si="3">_xlfn.FORMULATEXT(J19)</f>
        <v>=CHISQ.DIST.RT(J14,J17)</v>
      </c>
    </row>
    <row r="20" spans="2:11">
      <c r="H20" s="57" t="s">
        <v>57</v>
      </c>
      <c r="I20" s="55" t="s">
        <v>63</v>
      </c>
      <c r="J20" s="58">
        <f>1-_xlfn.CHISQ.DIST(J14,J17,TRUE)</f>
        <v>2.623218302496455E-3</v>
      </c>
      <c r="K20" s="54" t="str">
        <f t="shared" ca="1" si="3"/>
        <v>=1-CHISQ.DIST(J14,J17,TRUE)</v>
      </c>
    </row>
    <row r="21" spans="2:11">
      <c r="H21" s="57" t="s">
        <v>58</v>
      </c>
      <c r="I21" s="55" t="s">
        <v>69</v>
      </c>
      <c r="J21" s="58">
        <f>_xlfn.CHISQ.TEST(C6:D7,C13:D14)</f>
        <v>2.6232183024964737E-3</v>
      </c>
      <c r="K21" s="54" t="str">
        <f t="shared" ca="1" si="3"/>
        <v>=CHISQ.TEST(C6:D7,C13:D14)</v>
      </c>
    </row>
    <row r="22" spans="2:11" ht="18.75">
      <c r="H22" s="57" t="s">
        <v>55</v>
      </c>
      <c r="I22" s="55" t="s">
        <v>390</v>
      </c>
      <c r="J22" s="59">
        <f>_xlfn.CHISQ.INV.RT(J11,J17)</f>
        <v>3.8414588206941236</v>
      </c>
      <c r="K22" s="54" t="str">
        <f t="shared" ca="1" si="3"/>
        <v>=CHISQ.INV.RT(J11,J17)</v>
      </c>
    </row>
    <row r="23" spans="2:11">
      <c r="H23" s="62" t="s">
        <v>68</v>
      </c>
      <c r="I23" s="63"/>
      <c r="J23" s="63"/>
      <c r="K23" s="63"/>
    </row>
    <row r="24" spans="2:11" ht="18">
      <c r="G24" s="7" t="s">
        <v>54</v>
      </c>
      <c r="H24" s="63"/>
      <c r="I24" s="63" t="s">
        <v>269</v>
      </c>
      <c r="J24" s="63"/>
      <c r="K24" s="63" t="s">
        <v>125</v>
      </c>
    </row>
    <row r="25" spans="2:11" ht="18.75">
      <c r="G25" s="7" t="s">
        <v>55</v>
      </c>
      <c r="H25" s="63"/>
      <c r="I25" s="63" t="s">
        <v>396</v>
      </c>
      <c r="J25" s="63"/>
      <c r="K25" s="63" t="s">
        <v>126</v>
      </c>
    </row>
    <row r="26" spans="2:11">
      <c r="B26" s="45"/>
      <c r="D26" s="45"/>
      <c r="F26" s="45"/>
      <c r="H26" s="63"/>
      <c r="I26" s="63" t="s">
        <v>127</v>
      </c>
      <c r="J26" s="63"/>
      <c r="K26" s="63"/>
    </row>
    <row r="27" spans="2:11">
      <c r="B27" s="45"/>
      <c r="C27" s="40"/>
      <c r="D27" s="61"/>
      <c r="E27" s="40"/>
      <c r="F27" s="41"/>
    </row>
    <row r="28" spans="2:11">
      <c r="B28" s="45"/>
      <c r="C28" s="40"/>
      <c r="D28" s="61"/>
      <c r="E28" s="40"/>
      <c r="F28" s="41"/>
    </row>
    <row r="29" spans="2:11">
      <c r="B29" s="45"/>
      <c r="C29" s="40"/>
      <c r="D29" s="61"/>
      <c r="E29" s="40"/>
      <c r="F29" s="41"/>
    </row>
    <row r="30" spans="2:11">
      <c r="B30" s="45"/>
      <c r="C30" s="40"/>
      <c r="D30" s="61"/>
      <c r="E30" s="40"/>
      <c r="F30" s="41"/>
    </row>
    <row r="35" spans="11:11">
      <c r="K35" s="64"/>
    </row>
    <row r="36" spans="11:11">
      <c r="K36" s="64"/>
    </row>
    <row r="37" spans="11:11">
      <c r="K37" s="64"/>
    </row>
    <row r="38" spans="11:11">
      <c r="K38" s="64"/>
    </row>
    <row r="39" spans="11:11">
      <c r="K39" s="64"/>
    </row>
    <row r="40" spans="11:11">
      <c r="K40" s="64"/>
    </row>
    <row r="54" spans="12:12">
      <c r="L54" s="64"/>
    </row>
  </sheetData>
  <mergeCells count="1">
    <mergeCell ref="E12:F12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15"/>
  <sheetViews>
    <sheetView workbookViewId="0">
      <selection activeCell="A2" sqref="A2"/>
    </sheetView>
  </sheetViews>
  <sheetFormatPr defaultColWidth="9.140625" defaultRowHeight="15"/>
  <cols>
    <col min="1" max="1" width="7.28515625" style="66" customWidth="1"/>
    <col min="2" max="2" width="16.140625" style="66" customWidth="1"/>
    <col min="3" max="4" width="24.140625" style="66" customWidth="1"/>
    <col min="5" max="16384" width="9.140625" style="66"/>
  </cols>
  <sheetData>
    <row r="1" spans="1:4">
      <c r="A1" s="65" t="s">
        <v>270</v>
      </c>
    </row>
    <row r="4" spans="1:4" ht="17.25">
      <c r="B4" s="287" t="s">
        <v>387</v>
      </c>
      <c r="C4" s="68">
        <v>2.89</v>
      </c>
    </row>
    <row r="5" spans="1:4">
      <c r="B5" s="67" t="s">
        <v>9</v>
      </c>
      <c r="C5" s="68">
        <v>1</v>
      </c>
    </row>
    <row r="7" spans="1:4">
      <c r="B7" s="67" t="s">
        <v>13</v>
      </c>
      <c r="C7" s="68">
        <f>_xlfn.CHISQ.DIST.RT(C4,C5)</f>
        <v>8.9130925517086082E-2</v>
      </c>
      <c r="D7" s="69" t="str">
        <f ca="1">_xlfn.FORMULATEXT(C7)</f>
        <v>=CHISQ.DIST.RT(C4,C5)</v>
      </c>
    </row>
    <row r="9" spans="1:4" ht="18">
      <c r="B9" s="67" t="s">
        <v>271</v>
      </c>
      <c r="C9" s="68">
        <f>SQRT(C4)</f>
        <v>1.7</v>
      </c>
      <c r="D9" s="69" t="str">
        <f ca="1">_xlfn.FORMULATEXT(C9)</f>
        <v>=SQRT(C4)</v>
      </c>
    </row>
    <row r="11" spans="1:4">
      <c r="B11" s="235"/>
      <c r="C11" s="249">
        <v>0.01</v>
      </c>
      <c r="D11" s="249">
        <v>0.05</v>
      </c>
    </row>
    <row r="12" spans="1:4" ht="18.75">
      <c r="B12" s="289" t="s">
        <v>397</v>
      </c>
      <c r="C12" s="70">
        <f>_xlfn.CHISQ.INV.RT(C11,C5)</f>
        <v>6.6348966010212118</v>
      </c>
      <c r="D12" s="70">
        <f>_xlfn.CHISQ.INV.RT(D11,C5)</f>
        <v>3.8414588206941236</v>
      </c>
    </row>
    <row r="13" spans="1:4">
      <c r="B13" s="235"/>
      <c r="C13" s="251" t="str">
        <f ca="1">_xlfn.FORMULATEXT(C12)</f>
        <v>=CHISQ.INV.RT(C11,C5)</v>
      </c>
      <c r="D13" s="251" t="str">
        <f ca="1">_xlfn.FORMULATEXT(D12)</f>
        <v>=CHISQ.INV.RT(D11,C5)</v>
      </c>
    </row>
    <row r="14" spans="1:4">
      <c r="B14" s="250" t="s">
        <v>128</v>
      </c>
      <c r="C14" s="70">
        <f>SQRT(C12)</f>
        <v>2.5758293035488999</v>
      </c>
      <c r="D14" s="70">
        <f>SQRT(D12)</f>
        <v>1.9599639845400536</v>
      </c>
    </row>
    <row r="15" spans="1:4">
      <c r="C15" s="69" t="str">
        <f ca="1">_xlfn.FORMULATEXT(C14)</f>
        <v>=SQRT(C12)</v>
      </c>
      <c r="D15" s="69" t="str">
        <f ca="1">_xlfn.FORMULATEXT(D14)</f>
        <v>=SQRT(D12)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26"/>
  <sheetViews>
    <sheetView workbookViewId="0">
      <selection activeCell="A2" sqref="A2"/>
    </sheetView>
  </sheetViews>
  <sheetFormatPr defaultColWidth="9.140625" defaultRowHeight="15"/>
  <cols>
    <col min="1" max="1" width="5.140625" style="66" customWidth="1"/>
    <col min="2" max="2" width="13" style="66" customWidth="1"/>
    <col min="3" max="3" width="21.5703125" style="66" customWidth="1"/>
    <col min="4" max="4" width="17.5703125" style="66" customWidth="1"/>
    <col min="5" max="5" width="18.140625" style="66" customWidth="1"/>
    <col min="6" max="6" width="4.5703125" style="66" customWidth="1"/>
    <col min="7" max="7" width="26" style="66" customWidth="1"/>
    <col min="8" max="8" width="35.7109375" style="66" customWidth="1"/>
    <col min="9" max="9" width="15.7109375" style="66" customWidth="1"/>
    <col min="10" max="10" width="28" style="66" customWidth="1"/>
    <col min="11" max="16384" width="9.140625" style="66"/>
  </cols>
  <sheetData>
    <row r="1" spans="1:10">
      <c r="A1" s="65" t="s">
        <v>272</v>
      </c>
    </row>
    <row r="3" spans="1:10">
      <c r="B3" s="66" t="s">
        <v>0</v>
      </c>
    </row>
    <row r="4" spans="1:10">
      <c r="B4" s="71"/>
      <c r="C4" s="72" t="s">
        <v>129</v>
      </c>
      <c r="D4" s="72" t="s">
        <v>130</v>
      </c>
      <c r="E4" s="73" t="s">
        <v>10</v>
      </c>
      <c r="G4" s="201" t="s">
        <v>64</v>
      </c>
      <c r="H4" s="201"/>
      <c r="I4" s="201"/>
      <c r="J4" s="201"/>
    </row>
    <row r="5" spans="1:10" ht="18">
      <c r="B5" s="74" t="s">
        <v>123</v>
      </c>
      <c r="C5" s="75">
        <v>56</v>
      </c>
      <c r="D5" s="75">
        <v>66</v>
      </c>
      <c r="E5" s="73">
        <f>SUM(C5:D5)</f>
        <v>122</v>
      </c>
      <c r="F5" s="69"/>
      <c r="G5" s="201"/>
      <c r="H5" s="201" t="s">
        <v>267</v>
      </c>
      <c r="I5" s="201"/>
      <c r="J5" s="201"/>
    </row>
    <row r="6" spans="1:10" ht="18">
      <c r="B6" s="74" t="s">
        <v>124</v>
      </c>
      <c r="C6" s="75">
        <v>23</v>
      </c>
      <c r="D6" s="75">
        <v>36</v>
      </c>
      <c r="E6" s="73">
        <f>SUM(C6:D6)</f>
        <v>59</v>
      </c>
      <c r="F6" s="69"/>
      <c r="G6" s="201"/>
      <c r="H6" s="201" t="s">
        <v>268</v>
      </c>
      <c r="I6" s="201"/>
      <c r="J6" s="201"/>
    </row>
    <row r="7" spans="1:10">
      <c r="B7" s="76" t="s">
        <v>10</v>
      </c>
      <c r="C7" s="73">
        <f>SUM(C5:C6)</f>
        <v>79</v>
      </c>
      <c r="D7" s="73">
        <f>SUM(D5:D6)</f>
        <v>102</v>
      </c>
      <c r="E7" s="73">
        <f>SUM(E5:E6)</f>
        <v>181</v>
      </c>
      <c r="F7" s="69"/>
      <c r="G7" s="201"/>
      <c r="H7" s="201"/>
      <c r="I7" s="201"/>
      <c r="J7" s="201"/>
    </row>
    <row r="8" spans="1:10">
      <c r="B8" s="73"/>
      <c r="C8" s="69"/>
      <c r="D8" s="69"/>
      <c r="E8" s="69"/>
      <c r="G8" s="204" t="s">
        <v>65</v>
      </c>
      <c r="H8" s="204" t="s">
        <v>4</v>
      </c>
      <c r="I8" s="204"/>
      <c r="J8" s="204"/>
    </row>
    <row r="9" spans="1:10">
      <c r="B9" s="66" t="s">
        <v>379</v>
      </c>
      <c r="G9" s="204"/>
      <c r="H9" s="204" t="s">
        <v>131</v>
      </c>
      <c r="I9" s="204"/>
      <c r="J9" s="204"/>
    </row>
    <row r="10" spans="1:10">
      <c r="B10" s="77" t="s">
        <v>2</v>
      </c>
      <c r="C10" s="77" t="s">
        <v>5</v>
      </c>
      <c r="D10" s="77" t="s">
        <v>11</v>
      </c>
      <c r="G10" s="204"/>
      <c r="H10" s="204"/>
      <c r="I10" s="204"/>
      <c r="J10" s="204"/>
    </row>
    <row r="11" spans="1:10">
      <c r="B11" s="78">
        <f>C5</f>
        <v>56</v>
      </c>
      <c r="C11" s="79">
        <f>C7*I15</f>
        <v>53.248618784530393</v>
      </c>
      <c r="D11" s="80">
        <f>(B11-C11)^2/C11</f>
        <v>0.14216516344717378</v>
      </c>
      <c r="E11" s="69" t="str">
        <f ca="1">_xlfn.FORMULATEXT(D11)</f>
        <v>=(B11-C11)^2/C11</v>
      </c>
      <c r="G11" s="206" t="s">
        <v>66</v>
      </c>
      <c r="H11" s="206"/>
      <c r="I11" s="206"/>
      <c r="J11" s="206"/>
    </row>
    <row r="12" spans="1:10">
      <c r="B12" s="78">
        <f>D5</f>
        <v>66</v>
      </c>
      <c r="C12" s="79">
        <f>D7*I15</f>
        <v>68.751381215469621</v>
      </c>
      <c r="D12" s="80">
        <f>(B12-C12)^2/C12</f>
        <v>0.11010831286594946</v>
      </c>
      <c r="E12" s="69"/>
      <c r="G12" s="206"/>
      <c r="H12" s="232" t="s">
        <v>94</v>
      </c>
      <c r="I12" s="208">
        <v>0.05</v>
      </c>
      <c r="J12" s="206"/>
    </row>
    <row r="13" spans="1:10">
      <c r="B13" s="78">
        <f>C6</f>
        <v>23</v>
      </c>
      <c r="C13" s="79">
        <f>C7*(1-I15)</f>
        <v>25.75138121546961</v>
      </c>
      <c r="D13" s="80">
        <f>(B13-C13)^2/C13</f>
        <v>0.29396864306025849</v>
      </c>
      <c r="E13" s="69"/>
      <c r="G13" s="206"/>
      <c r="H13" s="206"/>
      <c r="I13" s="206"/>
      <c r="J13" s="206"/>
    </row>
    <row r="14" spans="1:10">
      <c r="B14" s="78">
        <f>D6</f>
        <v>36</v>
      </c>
      <c r="C14" s="79">
        <f>D7*(1-I15)</f>
        <v>33.248618784530379</v>
      </c>
      <c r="D14" s="80">
        <f>(B14-C14)^2/C14</f>
        <v>0.22768159609569219</v>
      </c>
      <c r="E14" s="69" t="str">
        <f ca="1">_xlfn.FORMULATEXT(D14)</f>
        <v>=(B14-C14)^2/C14</v>
      </c>
      <c r="G14" s="209" t="s">
        <v>67</v>
      </c>
      <c r="H14" s="209"/>
      <c r="I14" s="209"/>
      <c r="J14" s="209"/>
    </row>
    <row r="15" spans="1:10">
      <c r="C15" s="66" t="str">
        <f ca="1">_xlfn.FORMULATEXT(C14)</f>
        <v>=D7*(1-I15)</v>
      </c>
      <c r="D15" s="66" t="str">
        <f ca="1">_xlfn.FORMULATEXT(D14)</f>
        <v>=(B14-C14)^2/C14</v>
      </c>
      <c r="G15" s="209"/>
      <c r="H15" s="210" t="s">
        <v>12</v>
      </c>
      <c r="I15" s="213">
        <f>E5/E7</f>
        <v>0.67403314917127077</v>
      </c>
      <c r="J15" s="212" t="str">
        <f t="shared" ref="J15:J21" ca="1" si="0">_xlfn.FORMULATEXT(I15)</f>
        <v>=E5/E7</v>
      </c>
    </row>
    <row r="16" spans="1:10" ht="18.75">
      <c r="G16" s="209"/>
      <c r="H16" s="210" t="s">
        <v>395</v>
      </c>
      <c r="I16" s="213">
        <f>SUM(D11:D14)</f>
        <v>0.7739237154690739</v>
      </c>
      <c r="J16" s="212" t="str">
        <f t="shared" ca="1" si="0"/>
        <v>=SUM(D11:D14)</v>
      </c>
    </row>
    <row r="17" spans="7:10">
      <c r="G17" s="209"/>
      <c r="H17" s="210" t="s">
        <v>7</v>
      </c>
      <c r="I17" s="213">
        <f>COUNTA(B5:B6)</f>
        <v>2</v>
      </c>
      <c r="J17" s="212" t="str">
        <f t="shared" ca="1" si="0"/>
        <v>=COUNTA(B5:B6)</v>
      </c>
    </row>
    <row r="18" spans="7:10">
      <c r="G18" s="209"/>
      <c r="H18" s="210" t="s">
        <v>8</v>
      </c>
      <c r="I18" s="213">
        <f>COUNTA(C4:D4)</f>
        <v>2</v>
      </c>
      <c r="J18" s="212" t="str">
        <f t="shared" ca="1" si="0"/>
        <v>=COUNTA(C4:D4)</v>
      </c>
    </row>
    <row r="19" spans="7:10">
      <c r="G19" s="209"/>
      <c r="H19" s="210" t="s">
        <v>9</v>
      </c>
      <c r="I19" s="213">
        <f>(I17-1)*(I18-1)</f>
        <v>1</v>
      </c>
      <c r="J19" s="212" t="str">
        <f t="shared" ca="1" si="0"/>
        <v>=(I17-1)*(I18-1)</v>
      </c>
    </row>
    <row r="20" spans="7:10" ht="18.75">
      <c r="G20" s="209"/>
      <c r="H20" s="210" t="s">
        <v>390</v>
      </c>
      <c r="I20" s="247">
        <f>_xlfn.CHISQ.INV.RT(I12,I19)</f>
        <v>3.8414588206941236</v>
      </c>
      <c r="J20" s="212" t="str">
        <f t="shared" ca="1" si="0"/>
        <v>=CHISQ.INV.RT(I12,I19)</v>
      </c>
    </row>
    <row r="21" spans="7:10">
      <c r="G21" s="209"/>
      <c r="H21" s="210" t="s">
        <v>13</v>
      </c>
      <c r="I21" s="221">
        <f>_xlfn.CHISQ.DIST.RT(I16,I19)</f>
        <v>0.37900594992570763</v>
      </c>
      <c r="J21" s="212" t="str">
        <f t="shared" ca="1" si="0"/>
        <v>=CHISQ.DIST.RT(I16,I19)</v>
      </c>
    </row>
    <row r="22" spans="7:10">
      <c r="G22" s="209"/>
      <c r="H22" s="209"/>
      <c r="I22" s="209"/>
      <c r="J22" s="209"/>
    </row>
    <row r="23" spans="7:10">
      <c r="G23" s="248" t="s">
        <v>68</v>
      </c>
      <c r="H23" s="216"/>
      <c r="I23" s="216"/>
      <c r="J23" s="218"/>
    </row>
    <row r="24" spans="7:10" ht="18.75">
      <c r="G24" s="216"/>
      <c r="H24" s="216" t="s">
        <v>398</v>
      </c>
      <c r="I24" s="216"/>
      <c r="J24" s="218"/>
    </row>
    <row r="25" spans="7:10" ht="18">
      <c r="G25" s="216"/>
      <c r="H25" s="216" t="s">
        <v>378</v>
      </c>
      <c r="I25" s="216"/>
      <c r="J25" s="218"/>
    </row>
    <row r="26" spans="7:10">
      <c r="G26" s="216"/>
      <c r="H26" s="216" t="s">
        <v>132</v>
      </c>
      <c r="I26" s="216"/>
      <c r="J26" s="216"/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68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X8.1</vt:lpstr>
      <vt:lpstr>X8.2</vt:lpstr>
      <vt:lpstr>X8.3</vt:lpstr>
      <vt:lpstr>X8.4</vt:lpstr>
      <vt:lpstr>X8.5</vt:lpstr>
      <vt:lpstr>X8.6</vt:lpstr>
      <vt:lpstr>X8.7</vt:lpstr>
      <vt:lpstr>X8.8</vt:lpstr>
      <vt:lpstr>X8.9</vt:lpstr>
      <vt:lpstr>X8.10</vt:lpstr>
      <vt:lpstr>X8.11</vt:lpstr>
      <vt:lpstr>X8.12</vt:lpstr>
      <vt:lpstr>X8.13</vt:lpstr>
      <vt:lpstr>X8.14</vt:lpstr>
      <vt:lpstr>X8.15</vt:lpstr>
      <vt:lpstr>X8.16</vt:lpstr>
      <vt:lpstr>X8.17</vt:lpstr>
      <vt:lpstr>X8.18</vt:lpstr>
      <vt:lpstr>X8.19</vt:lpstr>
      <vt:lpstr>TU8.1</vt:lpstr>
      <vt:lpstr>TU8.2</vt:lpstr>
      <vt:lpstr>TU8.3</vt:lpstr>
      <vt:lpstr>TU8.4</vt:lpstr>
      <vt:lpstr>TU8.5</vt:lpstr>
      <vt:lpstr>TU8.6</vt:lpstr>
      <vt:lpstr>TU8.7</vt:lpstr>
      <vt:lpstr>TU8.8</vt:lpstr>
      <vt:lpstr>TU8.9</vt:lpstr>
      <vt:lpstr>TU8.10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Branko Pecar</cp:lastModifiedBy>
  <cp:lastPrinted>2019-06-17T14:02:15Z</cp:lastPrinted>
  <dcterms:created xsi:type="dcterms:W3CDTF">2017-03-20T10:41:06Z</dcterms:created>
  <dcterms:modified xsi:type="dcterms:W3CDTF">2020-09-25T08:03:53Z</dcterms:modified>
</cp:coreProperties>
</file>